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a.ryzhova\Desktop\Кладка Вэйвер\"/>
    </mc:Choice>
  </mc:AlternateContent>
  <xr:revisionPtr revIDLastSave="0" documentId="13_ncr:1_{86CA8F4A-94CB-4163-9B6C-BF6EBC1D8C9C}" xr6:coauthVersionLast="47" xr6:coauthVersionMax="47" xr10:uidLastSave="{00000000-0000-0000-0000-000000000000}"/>
  <bookViews>
    <workbookView xWindow="-120" yWindow="-120" windowWidth="29040" windowHeight="15720" xr2:uid="{00000000-000D-0000-FFFF-FFFF00000000}"/>
  </bookViews>
  <sheets>
    <sheet name="ВДЦ   Вэйвер (2)" sheetId="8" r:id="rId1"/>
    <sheet name="для ЭП вдц" sheetId="12" r:id="rId2"/>
  </sheets>
  <definedNames>
    <definedName name="_xlnm._FilterDatabase" localSheetId="0" hidden="1">'ВДЦ   Вэйвер (2)'!$A$9:$Q$113</definedName>
    <definedName name="_xlnm.Print_Area" localSheetId="0">'ВДЦ   Вэйвер (2)'!$A$1:$R$170</definedName>
  </definedNames>
  <calcPr calcId="191029"/>
  <pivotCaches>
    <pivotCache cacheId="0"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7" i="8" l="1"/>
  <c r="H108" i="8"/>
  <c r="H107" i="8" l="1"/>
  <c r="K109" i="8"/>
  <c r="P109" i="8" s="1"/>
  <c r="Q109" i="8" s="1"/>
  <c r="N108" i="8"/>
  <c r="N109" i="8"/>
  <c r="N107" i="8"/>
  <c r="N104" i="8"/>
  <c r="O15" i="8"/>
  <c r="P14" i="8"/>
  <c r="N14" i="8"/>
  <c r="Q110" i="8"/>
  <c r="P110" i="8"/>
  <c r="N110" i="8"/>
  <c r="N101" i="8"/>
  <c r="N105" i="8"/>
  <c r="O106" i="8"/>
  <c r="N106" i="8"/>
  <c r="N78" i="8"/>
  <c r="O78" i="8"/>
  <c r="P44" i="8"/>
  <c r="Q45" i="8"/>
  <c r="P27" i="8"/>
  <c r="N21" i="8"/>
  <c r="N20" i="8"/>
  <c r="N15" i="8"/>
  <c r="Q21" i="8"/>
  <c r="O102" i="8"/>
  <c r="N102" i="8"/>
  <c r="Q15" i="8"/>
  <c r="K108" i="8"/>
  <c r="P108" i="8" s="1"/>
  <c r="Q108" i="8" s="1"/>
  <c r="K14" i="8"/>
  <c r="P107" i="8" l="1"/>
  <c r="Q107" i="8" s="1"/>
  <c r="K92" i="8" l="1"/>
  <c r="K53" i="8"/>
  <c r="I78" i="8"/>
  <c r="K95" i="8"/>
  <c r="K96" i="8"/>
  <c r="K97" i="8"/>
  <c r="K98" i="8"/>
  <c r="K86" i="8"/>
  <c r="K87" i="8"/>
  <c r="K88" i="8"/>
  <c r="K89" i="8"/>
  <c r="K90" i="8"/>
  <c r="K91" i="8"/>
  <c r="K81" i="8"/>
  <c r="K75" i="8"/>
  <c r="K70" i="8"/>
  <c r="K64" i="8"/>
  <c r="K57" i="8"/>
  <c r="K54" i="8"/>
  <c r="K55" i="8"/>
  <c r="K56" i="8"/>
  <c r="K51" i="8"/>
  <c r="K20" i="8"/>
  <c r="K110" i="8"/>
  <c r="K104" i="8"/>
  <c r="H105" i="8" l="1"/>
  <c r="H106" i="8" l="1"/>
  <c r="K106" i="8" s="1"/>
  <c r="K105" i="8"/>
  <c r="I15" i="8" l="1"/>
  <c r="K111" i="8"/>
  <c r="O105" i="8"/>
  <c r="H102" i="8"/>
  <c r="K102" i="8" s="1"/>
  <c r="H101" i="8"/>
  <c r="K101" i="8" s="1"/>
  <c r="N100" i="8"/>
  <c r="H100" i="8"/>
  <c r="K100" i="8" s="1"/>
  <c r="N99" i="8"/>
  <c r="H99" i="8"/>
  <c r="K99" i="8" s="1"/>
  <c r="N98" i="8"/>
  <c r="N97" i="8"/>
  <c r="O97" i="8"/>
  <c r="N96" i="8"/>
  <c r="N95" i="8"/>
  <c r="N94" i="8"/>
  <c r="H94" i="8"/>
  <c r="N93" i="8"/>
  <c r="H93" i="8"/>
  <c r="K93" i="8" s="1"/>
  <c r="N92" i="8"/>
  <c r="O92" i="8"/>
  <c r="N91" i="8"/>
  <c r="N90" i="8"/>
  <c r="O90" i="8"/>
  <c r="N89" i="8"/>
  <c r="N88" i="8"/>
  <c r="O88" i="8"/>
  <c r="N87" i="8"/>
  <c r="P87" i="8"/>
  <c r="N86" i="8"/>
  <c r="N85" i="8"/>
  <c r="I85" i="8"/>
  <c r="H85" i="8"/>
  <c r="K85" i="8" s="1"/>
  <c r="N84" i="8"/>
  <c r="I84" i="8"/>
  <c r="H84" i="8"/>
  <c r="N83" i="8"/>
  <c r="K83" i="8"/>
  <c r="P83" i="8" s="1"/>
  <c r="N81" i="8"/>
  <c r="O81" i="8"/>
  <c r="N80" i="8"/>
  <c r="I80" i="8"/>
  <c r="H80" i="8"/>
  <c r="N79" i="8"/>
  <c r="I79" i="8"/>
  <c r="H79" i="8"/>
  <c r="H78" i="8"/>
  <c r="K78" i="8" s="1"/>
  <c r="N77" i="8"/>
  <c r="K77" i="8"/>
  <c r="P77" i="8" s="1"/>
  <c r="N75" i="8"/>
  <c r="N74" i="8"/>
  <c r="I74" i="8"/>
  <c r="H74" i="8"/>
  <c r="N73" i="8"/>
  <c r="I73" i="8"/>
  <c r="H73" i="8"/>
  <c r="N72" i="8"/>
  <c r="K72" i="8"/>
  <c r="N70" i="8"/>
  <c r="O70" i="8"/>
  <c r="N69" i="8"/>
  <c r="N68" i="8"/>
  <c r="I68" i="8"/>
  <c r="H68" i="8"/>
  <c r="K68" i="8" s="1"/>
  <c r="N67" i="8"/>
  <c r="N66" i="8"/>
  <c r="I66" i="8"/>
  <c r="I69" i="8" s="1"/>
  <c r="H66" i="8"/>
  <c r="N64" i="8"/>
  <c r="N63" i="8"/>
  <c r="N62" i="8"/>
  <c r="I62" i="8"/>
  <c r="H62" i="8"/>
  <c r="N61" i="8"/>
  <c r="N60" i="8"/>
  <c r="I60" i="8"/>
  <c r="I63" i="8" s="1"/>
  <c r="H60" i="8"/>
  <c r="H63" i="8" s="1"/>
  <c r="N57" i="8"/>
  <c r="O57" i="8"/>
  <c r="N56" i="8"/>
  <c r="O56" i="8"/>
  <c r="N55" i="8"/>
  <c r="O55" i="8"/>
  <c r="N54" i="8"/>
  <c r="N53" i="8"/>
  <c r="O53" i="8"/>
  <c r="N52" i="8"/>
  <c r="I52" i="8"/>
  <c r="K52" i="8" s="1"/>
  <c r="N51" i="8"/>
  <c r="N50" i="8"/>
  <c r="J50" i="8"/>
  <c r="N49" i="8"/>
  <c r="J49" i="8"/>
  <c r="N48" i="8"/>
  <c r="J48" i="8"/>
  <c r="K48" i="8" s="1"/>
  <c r="O48" i="8" s="1"/>
  <c r="N47" i="8"/>
  <c r="J47" i="8"/>
  <c r="K47" i="8" s="1"/>
  <c r="N46" i="8"/>
  <c r="J46" i="8"/>
  <c r="K46" i="8" s="1"/>
  <c r="N45" i="8"/>
  <c r="J45" i="8"/>
  <c r="K45" i="8" s="1"/>
  <c r="N44" i="8"/>
  <c r="J44" i="8"/>
  <c r="K44" i="8" s="1"/>
  <c r="N42" i="8"/>
  <c r="J42" i="8"/>
  <c r="N41" i="8"/>
  <c r="J41" i="8"/>
  <c r="K41" i="8" s="1"/>
  <c r="N40" i="8"/>
  <c r="J40" i="8"/>
  <c r="K40" i="8" s="1"/>
  <c r="N39" i="8"/>
  <c r="J39" i="8"/>
  <c r="K39" i="8" s="1"/>
  <c r="N38" i="8"/>
  <c r="K38" i="8"/>
  <c r="N36" i="8"/>
  <c r="J36" i="8"/>
  <c r="K36" i="8" s="1"/>
  <c r="O36" i="8" s="1"/>
  <c r="N35" i="8"/>
  <c r="J35" i="8"/>
  <c r="K35" i="8" s="1"/>
  <c r="N34" i="8"/>
  <c r="J34" i="8"/>
  <c r="K34" i="8" s="1"/>
  <c r="N33" i="8"/>
  <c r="K33" i="8"/>
  <c r="N31" i="8"/>
  <c r="J31" i="8"/>
  <c r="K31" i="8" s="1"/>
  <c r="N30" i="8"/>
  <c r="J30" i="8"/>
  <c r="N29" i="8"/>
  <c r="J29" i="8"/>
  <c r="K29" i="8" s="1"/>
  <c r="N28" i="8"/>
  <c r="J28" i="8"/>
  <c r="K28" i="8" s="1"/>
  <c r="N27" i="8"/>
  <c r="K27" i="8"/>
  <c r="Q25" i="8"/>
  <c r="N24" i="8"/>
  <c r="I24" i="8"/>
  <c r="H24" i="8"/>
  <c r="N23" i="8"/>
  <c r="I23" i="8"/>
  <c r="H23" i="8"/>
  <c r="N22" i="8"/>
  <c r="I22" i="8"/>
  <c r="H22" i="8"/>
  <c r="K22" i="8" s="1"/>
  <c r="I21" i="8"/>
  <c r="H21" i="8"/>
  <c r="N18" i="8"/>
  <c r="I18" i="8"/>
  <c r="H18" i="8"/>
  <c r="N17" i="8"/>
  <c r="I17" i="8"/>
  <c r="H17" i="8"/>
  <c r="N16" i="8"/>
  <c r="I16" i="8"/>
  <c r="H16" i="8"/>
  <c r="K16" i="8" s="1"/>
  <c r="H15" i="8"/>
  <c r="K94" i="8" l="1"/>
  <c r="P94" i="8" s="1"/>
  <c r="K62" i="8"/>
  <c r="K74" i="8"/>
  <c r="K79" i="8"/>
  <c r="K63" i="8"/>
  <c r="K23" i="8"/>
  <c r="O23" i="8" s="1"/>
  <c r="K80" i="8"/>
  <c r="K49" i="8"/>
  <c r="O49" i="8" s="1"/>
  <c r="K18" i="8"/>
  <c r="K21" i="8"/>
  <c r="K30" i="8"/>
  <c r="O30" i="8" s="1"/>
  <c r="K42" i="8"/>
  <c r="K17" i="8"/>
  <c r="O17" i="8" s="1"/>
  <c r="K24" i="8"/>
  <c r="O24" i="8" s="1"/>
  <c r="K50" i="8"/>
  <c r="O68" i="8"/>
  <c r="I67" i="8"/>
  <c r="K15" i="8"/>
  <c r="Q48" i="8"/>
  <c r="K84" i="8"/>
  <c r="Q57" i="8"/>
  <c r="O91" i="8"/>
  <c r="Q91" i="8" s="1"/>
  <c r="Q44" i="8"/>
  <c r="Q56" i="8"/>
  <c r="Q90" i="8"/>
  <c r="Q53" i="8"/>
  <c r="Q81" i="8"/>
  <c r="P104" i="8"/>
  <c r="Q104" i="8" s="1"/>
  <c r="P72" i="8"/>
  <c r="Q72" i="8" s="1"/>
  <c r="K73" i="8"/>
  <c r="O73" i="8" s="1"/>
  <c r="Q27" i="8"/>
  <c r="Q83" i="8"/>
  <c r="O39" i="8"/>
  <c r="Q39" i="8" s="1"/>
  <c r="Q55" i="8"/>
  <c r="Q77" i="8"/>
  <c r="O86" i="8"/>
  <c r="Q86" i="8" s="1"/>
  <c r="Q87" i="8"/>
  <c r="O95" i="8"/>
  <c r="Q95" i="8" s="1"/>
  <c r="O96" i="8"/>
  <c r="Q96" i="8" s="1"/>
  <c r="O28" i="8"/>
  <c r="Q28" i="8" s="1"/>
  <c r="O51" i="8"/>
  <c r="Q51" i="8" s="1"/>
  <c r="O35" i="8"/>
  <c r="O41" i="8"/>
  <c r="O40" i="8"/>
  <c r="P52" i="8"/>
  <c r="P33" i="8"/>
  <c r="O46" i="8"/>
  <c r="P20" i="8"/>
  <c r="O75" i="8"/>
  <c r="P38" i="8"/>
  <c r="O47" i="8"/>
  <c r="O29" i="8"/>
  <c r="O31" i="8"/>
  <c r="O34" i="8"/>
  <c r="Q36" i="8"/>
  <c r="O45" i="8"/>
  <c r="O64" i="8"/>
  <c r="O93" i="8"/>
  <c r="H61" i="8"/>
  <c r="K60" i="8"/>
  <c r="O54" i="8"/>
  <c r="I61" i="8"/>
  <c r="K66" i="8"/>
  <c r="H69" i="8"/>
  <c r="K69" i="8" s="1"/>
  <c r="H67" i="8"/>
  <c r="Q70" i="8"/>
  <c r="O101" i="8"/>
  <c r="Q88" i="8"/>
  <c r="O89" i="8"/>
  <c r="Q89" i="8" s="1"/>
  <c r="Q92" i="8"/>
  <c r="Q97" i="8"/>
  <c r="O98" i="8"/>
  <c r="Q98" i="8" s="1"/>
  <c r="Q105" i="8"/>
  <c r="Q94" i="8" l="1"/>
  <c r="Q49" i="8"/>
  <c r="Q78" i="8"/>
  <c r="O50" i="8"/>
  <c r="Q50" i="8" s="1"/>
  <c r="Q30" i="8"/>
  <c r="O42" i="8"/>
  <c r="Q42" i="8" s="1"/>
  <c r="O99" i="8"/>
  <c r="Q99" i="8" s="1"/>
  <c r="K67" i="8"/>
  <c r="O67" i="8" s="1"/>
  <c r="O100" i="8"/>
  <c r="Q102" i="8"/>
  <c r="Q14" i="8"/>
  <c r="O74" i="8"/>
  <c r="Q74" i="8" s="1"/>
  <c r="Q23" i="8"/>
  <c r="Q24" i="8"/>
  <c r="Q73" i="8"/>
  <c r="O18" i="8"/>
  <c r="Q18" i="8" s="1"/>
  <c r="Q46" i="8"/>
  <c r="O22" i="8"/>
  <c r="Q22" i="8" s="1"/>
  <c r="O63" i="8"/>
  <c r="Q63" i="8" s="1"/>
  <c r="Q101" i="8"/>
  <c r="Q93" i="8"/>
  <c r="Q68" i="8"/>
  <c r="O62" i="8"/>
  <c r="Q62" i="8" s="1"/>
  <c r="Q106" i="8"/>
  <c r="O85" i="8"/>
  <c r="Q85" i="8" s="1"/>
  <c r="O16" i="8"/>
  <c r="Q16" i="8" s="1"/>
  <c r="O84" i="8"/>
  <c r="Q84" i="8" s="1"/>
  <c r="O79" i="8"/>
  <c r="Q79" i="8" s="1"/>
  <c r="Q40" i="8"/>
  <c r="O80" i="8"/>
  <c r="Q80" i="8" s="1"/>
  <c r="Q64" i="8"/>
  <c r="Q31" i="8"/>
  <c r="Q52" i="8"/>
  <c r="O21" i="8"/>
  <c r="Q75" i="8"/>
  <c r="Q33" i="8"/>
  <c r="P60" i="8"/>
  <c r="P66" i="8"/>
  <c r="Q41" i="8"/>
  <c r="Q47" i="8"/>
  <c r="O69" i="8"/>
  <c r="Q54" i="8"/>
  <c r="K61" i="8"/>
  <c r="Q34" i="8"/>
  <c r="Q29" i="8"/>
  <c r="Q38" i="8"/>
  <c r="Q20" i="8"/>
  <c r="Q35" i="8"/>
  <c r="Q67" i="8" l="1"/>
  <c r="Q66" i="8"/>
  <c r="Q69" i="8"/>
  <c r="O61" i="8"/>
  <c r="Q60" i="8"/>
  <c r="Q61" i="8" l="1"/>
  <c r="Q112" i="8" l="1"/>
  <c r="Q113" i="8" s="1"/>
</calcChain>
</file>

<file path=xl/sharedStrings.xml><?xml version="1.0" encoding="utf-8"?>
<sst xmlns="http://schemas.openxmlformats.org/spreadsheetml/2006/main" count="621" uniqueCount="208">
  <si>
    <t>Ведомость договорной цены № 1</t>
  </si>
  <si>
    <r>
      <rPr>
        <b/>
        <sz val="12"/>
        <color theme="1"/>
        <rFont val="Times New Roman"/>
        <family val="1"/>
        <charset val="204"/>
      </rPr>
      <t>на выполнение комплекса работ</t>
    </r>
    <r>
      <rPr>
        <i/>
        <sz val="12"/>
        <color theme="1"/>
        <rFont val="Times New Roman"/>
        <family val="1"/>
        <charset val="204"/>
      </rPr>
      <t xml:space="preserve"> по кладке стен и перегородок</t>
    </r>
  </si>
  <si>
    <t>Номер п/п</t>
  </si>
  <si>
    <t>Код</t>
  </si>
  <si>
    <t>Наименование  затрат</t>
  </si>
  <si>
    <t>Примечание</t>
  </si>
  <si>
    <t>Ед. изм.</t>
  </si>
  <si>
    <t>Цена, руб. в т.ч.  НДС</t>
  </si>
  <si>
    <t>Цена, руб.в т.ч  НДС</t>
  </si>
  <si>
    <t>Стоимость, руб. в т.ч. НДС</t>
  </si>
  <si>
    <t>Общая стоимость,
руб. в т.ч. НДС</t>
  </si>
  <si>
    <t>Материалы/ оборудование</t>
  </si>
  <si>
    <t>СМР, ПНР</t>
  </si>
  <si>
    <t xml:space="preserve">Приложение №       </t>
  </si>
  <si>
    <t xml:space="preserve">к договору субподряда №                      от                                      </t>
  </si>
  <si>
    <t>1</t>
  </si>
  <si>
    <t>1.1</t>
  </si>
  <si>
    <t>договорная цена</t>
  </si>
  <si>
    <t>м3</t>
  </si>
  <si>
    <t>шт.</t>
  </si>
  <si>
    <t>м2</t>
  </si>
  <si>
    <t>тн</t>
  </si>
  <si>
    <t>кг</t>
  </si>
  <si>
    <t>Общая стоимость работ</t>
  </si>
  <si>
    <t>Примечание:</t>
  </si>
  <si>
    <t>в т.ч. НДС 22%</t>
  </si>
  <si>
    <t>Секция1</t>
  </si>
  <si>
    <t>Секция2</t>
  </si>
  <si>
    <t>Норма Расхода</t>
  </si>
  <si>
    <t>Паркинг</t>
  </si>
  <si>
    <t>Всего кол-во</t>
  </si>
  <si>
    <t>Устройство наружных стен   t= 200мм.</t>
  </si>
  <si>
    <t>Устройство внутренних стен    t= 200мм.</t>
  </si>
  <si>
    <t xml:space="preserve"> Устройство перегородок   t= 80мм.</t>
  </si>
  <si>
    <t>Устройство  перегородок  из кирпича   t= 120мм.</t>
  </si>
  <si>
    <t xml:space="preserve">Устройство  стен  и перегородок  выше отм. 0.00 </t>
  </si>
  <si>
    <t>Монтаж перемычек ниже отм. 0.00</t>
  </si>
  <si>
    <t>Жилые секции</t>
  </si>
  <si>
    <t>Устройство  стен  и перегородок  ниже отм. 0.00</t>
  </si>
  <si>
    <t>1.2</t>
  </si>
  <si>
    <t>1.3</t>
  </si>
  <si>
    <t>1.4</t>
  </si>
  <si>
    <t>8</t>
  </si>
  <si>
    <t>8.1</t>
  </si>
  <si>
    <t>8.2</t>
  </si>
  <si>
    <t>8.3</t>
  </si>
  <si>
    <t>8.4</t>
  </si>
  <si>
    <t>9</t>
  </si>
  <si>
    <t>Стоимость работ включает в себя все расходные материалы и сопутствующие работы, необходимые для выполнения полного комплекса работ по устройству кладки (см. Примечание 1)</t>
  </si>
  <si>
    <t>Стоимость работ включает в себя следующие позиции:</t>
  </si>
  <si>
    <t>1. Все сопутствующие работы, необходимые для выполнения полного комплекса работ по устройству кладки</t>
  </si>
  <si>
    <t>2. Материалы</t>
  </si>
  <si>
    <t>- Арматурные стержни;</t>
  </si>
  <si>
    <t>- Арматурные анкера;</t>
  </si>
  <si>
    <t>- Лента перфорированная;</t>
  </si>
  <si>
    <t>- Эмаль ПФ-115</t>
  </si>
  <si>
    <t>- Грунтовка ГФ-021;</t>
  </si>
  <si>
    <t>- Шнур тира "Вилатерм";</t>
  </si>
  <si>
    <t>- Прямой подвес Knauf 200 мм;</t>
  </si>
  <si>
    <t>- Морозостойкий герметик;</t>
  </si>
  <si>
    <t>- Звукоизоляционная прокладка "Пенотерм" 5мм;</t>
  </si>
  <si>
    <t>- Прямой подвес Knauf;</t>
  </si>
  <si>
    <t>- Пистолетный дюбель-гвоздь;</t>
  </si>
  <si>
    <t>- Скоба С1 по типу Knauf;</t>
  </si>
  <si>
    <t>- Негорючая минвата плотностью 30-40 кг/м3;</t>
  </si>
  <si>
    <t>-Минвата плотностью не менее 35 кг/м3;</t>
  </si>
  <si>
    <t>- Тарельчатые дюбеля;</t>
  </si>
  <si>
    <t>- Дюбель пропиленовый 6х60мм;</t>
  </si>
  <si>
    <t>- Компенсатор из оцинкованной стали t=0,5мм (Компенсаторы металлические W-образные для деф.швов К50, оцинк.сталь);</t>
  </si>
  <si>
    <t>- Анкер Hilti HAS M6  или аналог;</t>
  </si>
  <si>
    <t>- Металлический распорный анкер L=60мм</t>
  </si>
  <si>
    <t>- Лента перфорированная 30х1,5 оцинкованная (замена монтажной детали МД-1, МД-2);</t>
  </si>
  <si>
    <t>- Монтажная пена с пределом огнестойкости не менее EI60;</t>
  </si>
  <si>
    <t>И другие материалы необходимые для выполнения полного комлекса работ по устройству кладки.</t>
  </si>
  <si>
    <t>3. Расходные материалы и оборудование</t>
  </si>
  <si>
    <t>- Газ (пропан) газовое оборудование;</t>
  </si>
  <si>
    <t>- Электроды;</t>
  </si>
  <si>
    <t>- Буры по бетону, диски отрезные;</t>
  </si>
  <si>
    <t>- Подмости для каменщиков;</t>
  </si>
  <si>
    <t>- Мастерки, уровень, отвесы, шнуры, рулетки, ведра, лопаты, удлинители и т.д.;</t>
  </si>
  <si>
    <t>- Банки под раствор;</t>
  </si>
  <si>
    <t>- Доставка и разгрузка материалов.</t>
  </si>
  <si>
    <t>И другие расходные материалы и оборудование, необходимые для выполнения полного комлекса работ по устройству кладки.</t>
  </si>
  <si>
    <t>4. Машины и механизмы</t>
  </si>
  <si>
    <t>- Автокраны;</t>
  </si>
  <si>
    <t>- Погрузчики;</t>
  </si>
  <si>
    <t>И другие машины и механизмы, необходимые для выполнения полного комплекса работ по устройству кладки.</t>
  </si>
  <si>
    <t>Подрядчик на момент предоставления коммерческого предложения ознакомился с нормами расхода на материалы и претензий не имеет.</t>
  </si>
  <si>
    <t>0.1.4.3.2.1</t>
  </si>
  <si>
    <t>2. Стоимость основных материалов включает в себя: стоимость материалов, упаковку, тару, транспортные расходы на доставку материалов на площадку складирования и к месту монтажа, заготовительно-складские расходы.</t>
  </si>
  <si>
    <t>3. Работы подлежат приемке и оплате выполненные полностью в объеме Единицы Приемки (ЕП), т.е. ЕП это этап работ, состоящий из группы технологических операций (группы единичных видов работ), который необходимо выполнить в полном объеме, чтобы произвести сдачу-приемку работ и предъявить его к оплате, т.е. выполнить все технологические операции (все единичные виды работ) входящие в состав ЕП.</t>
  </si>
  <si>
    <t>4. Сумма калькуляции конечная, изменению не подлежит. Все доп. работы, возникающие в процессе работ, не зависящие от изменения проекта, подрядчик оплачивает за счет собственных средств.</t>
  </si>
  <si>
    <t>5. Кладка включает работы по возведению конструкций из кирпича, блоков или других материалов с последующей заделкой отверстий, проёмов, гнёзд и борозд после прокладки инженерных сетей  в соответствии с проектом.</t>
  </si>
  <si>
    <t>Тип затрат</t>
  </si>
  <si>
    <t xml:space="preserve">Для кладки в зимний период рекомендуется  использовать специальный морозостойкий клей </t>
  </si>
  <si>
    <t xml:space="preserve">1. Стоимость работ и механизмов включает в себя: фонд оплаты труда основных рабочих строителей (ФОТ), эксплуатацию машин и механизмов (ЭММ), накладные расходы (НР), сметную прибыль (СП), затраты на электроэнергию, затраты на перемещение материалов по площадке, затраты на элементы крепежа (крепеж), затраты на устройство средств подмащивания, прочие затраты, кроме затрат на основные материалы. </t>
  </si>
  <si>
    <t>р</t>
  </si>
  <si>
    <t>м</t>
  </si>
  <si>
    <t>Устройство наружных стен из  блоков ячеистого бетона  t= 200мм.</t>
  </si>
  <si>
    <t>Устройство стен  из кирпича керамического полнотелого t= 250мм.</t>
  </si>
  <si>
    <t>Устройство внутренних  стен   t= 250мм.</t>
  </si>
  <si>
    <t>Устройство перегородок из кирпича керамического полнотелого t=120мм</t>
  </si>
  <si>
    <t>1.5</t>
  </si>
  <si>
    <t>0,02</t>
  </si>
  <si>
    <t>2</t>
  </si>
  <si>
    <t>1,1</t>
  </si>
  <si>
    <t>Сетка кладочная базальтовая 25х25мм диаметр 1мм.</t>
  </si>
  <si>
    <t>шт</t>
  </si>
  <si>
    <t>Услуги по обслуживанию строительной площадки в т.ч.:</t>
  </si>
  <si>
    <t>компл</t>
  </si>
  <si>
    <t>Услуги Башенного крана</t>
  </si>
  <si>
    <t>мес</t>
  </si>
  <si>
    <t>-Перфорированная полосовая коррозионостойкая сталь 1,5х30х400</t>
  </si>
  <si>
    <t>- Швеллер гнутый 130х60х4</t>
  </si>
  <si>
    <t xml:space="preserve">Отсечная гидроизоляция Технониколь (200мм) Первый ряд каменных работ </t>
  </si>
  <si>
    <t>усл</t>
  </si>
  <si>
    <t>Гидроизоляция ниже отм.0.00</t>
  </si>
  <si>
    <t>на объекте: "Жилой дом со встроенными помещениями общественного назначения и подземным паркингом по улице Восточная  г. Екатеринбург"</t>
  </si>
  <si>
    <t>Устройство внутренних стен    t= 200мм. (подвал отм. -4.400)</t>
  </si>
  <si>
    <t xml:space="preserve"> Устройство перегородок   t= 80мм. ( подвал отм. -4.400)</t>
  </si>
  <si>
    <t>3</t>
  </si>
  <si>
    <t>Устройство внутренних стен из  блоков ячеистого бетона  t= 200мм.</t>
  </si>
  <si>
    <t>Устройство внутренних стен    t= 200мм. (отм. -4.400)</t>
  </si>
  <si>
    <t xml:space="preserve"> Устройство перегородок   t= 80мм. (отм. -4.400)</t>
  </si>
  <si>
    <t>Устройство внутренних  стен   t= 250мм.(отм. -4.400)</t>
  </si>
  <si>
    <t>Монтаж перемычек паркинг (отм. -4.400)</t>
  </si>
  <si>
    <t>ПР-2</t>
  </si>
  <si>
    <t>ПР-4</t>
  </si>
  <si>
    <t>ПР5</t>
  </si>
  <si>
    <t>8.5</t>
  </si>
  <si>
    <t>Монтаж перемычек подвал (отм. 4.400)</t>
  </si>
  <si>
    <t>ПР-17</t>
  </si>
  <si>
    <t>ПР-19</t>
  </si>
  <si>
    <t>ПБП-19.19.16 (1,5м) ТУ23.61.12-011-83312286-20</t>
  </si>
  <si>
    <t>ПБП-19.19.16 (1,75) ТУ23.61.12-011-83312286-20</t>
  </si>
  <si>
    <t>2.1</t>
  </si>
  <si>
    <t>2.2</t>
  </si>
  <si>
    <t>2.3</t>
  </si>
  <si>
    <t>2.4</t>
  </si>
  <si>
    <t>2.5</t>
  </si>
  <si>
    <t>3.1</t>
  </si>
  <si>
    <t>3.2</t>
  </si>
  <si>
    <t>3.3</t>
  </si>
  <si>
    <t>3.4</t>
  </si>
  <si>
    <t>3.5</t>
  </si>
  <si>
    <t>4</t>
  </si>
  <si>
    <t>4.1</t>
  </si>
  <si>
    <t>4.2</t>
  </si>
  <si>
    <t>4.3</t>
  </si>
  <si>
    <t>4.4</t>
  </si>
  <si>
    <t>5</t>
  </si>
  <si>
    <t>5.1</t>
  </si>
  <si>
    <t>5.2</t>
  </si>
  <si>
    <t>5.3</t>
  </si>
  <si>
    <t>5.4</t>
  </si>
  <si>
    <t>5.5</t>
  </si>
  <si>
    <t>6</t>
  </si>
  <si>
    <t>6.1</t>
  </si>
  <si>
    <t>6.2</t>
  </si>
  <si>
    <t>6.3</t>
  </si>
  <si>
    <t>6.4</t>
  </si>
  <si>
    <t>6.5</t>
  </si>
  <si>
    <t>6.6</t>
  </si>
  <si>
    <t>6.7</t>
  </si>
  <si>
    <t>6.8</t>
  </si>
  <si>
    <t>7</t>
  </si>
  <si>
    <t>7.1</t>
  </si>
  <si>
    <t>7.2</t>
  </si>
  <si>
    <t>7.3</t>
  </si>
  <si>
    <t>7.4</t>
  </si>
  <si>
    <t>7.5</t>
  </si>
  <si>
    <t>Монтаж перемычек  1 этаж (цоколь)</t>
  </si>
  <si>
    <t>Мастика приклеивающая "Технониколь №27" или аналог</t>
  </si>
  <si>
    <t>Устройство перегородок из  влагостойких полнотелых пазогребневых плит  ПГП  толщиной  t= 80мм., с монтажем металлического каркаса при высоте перегородок выше 3,6м</t>
  </si>
  <si>
    <t>Монтаж перемычек выше отм.0.00</t>
  </si>
  <si>
    <t>0.1.4.2.2.4.8</t>
  </si>
  <si>
    <t>0.1.4.9</t>
  </si>
  <si>
    <t>0.1.4.8</t>
  </si>
  <si>
    <t>ПБП-19.19.16    ТУ23.61.12-011-83312286-20</t>
  </si>
  <si>
    <t>р/м</t>
  </si>
  <si>
    <t>Общий итог</t>
  </si>
  <si>
    <t>Итог</t>
  </si>
  <si>
    <t>(несколько элементов)</t>
  </si>
  <si>
    <t>Сумма по полю Всего кол-во</t>
  </si>
  <si>
    <t>6. Для кладки в зимний период рекомендуется  использовать специальный морозостойкий клей, морозостойкая клей-пена.</t>
  </si>
  <si>
    <t>час</t>
  </si>
  <si>
    <t>-Дюбели  6х50мм</t>
  </si>
  <si>
    <t>ПБП-19.19.16  ТУ23.61.12-011-83312286-20 (1600)</t>
  </si>
  <si>
    <t>ПБП-19.19.16  ТУ23.61.12-011-83312286-20 (1900)</t>
  </si>
  <si>
    <t>ПБП-19.19.16  ТУ23.61.12-011-83312286-20 (1250)</t>
  </si>
  <si>
    <t xml:space="preserve">ПБП-15.20.15 ТУ23.61.12-011-83312286-20 </t>
  </si>
  <si>
    <t xml:space="preserve">ПБП-15.20.18 ТУ23.61.12-011-83312286-20 </t>
  </si>
  <si>
    <t xml:space="preserve">ПБП-15.20.19 ТУ23.61.12-011-83312286-20 </t>
  </si>
  <si>
    <t xml:space="preserve">ПБП-19.19.24  ТУ23.61.12-011-83312286-20 </t>
  </si>
  <si>
    <t xml:space="preserve">Уголок  L100х6.5 </t>
  </si>
  <si>
    <r>
      <t xml:space="preserve">Услуги по обслуживанию строительной площадки </t>
    </r>
    <r>
      <rPr>
        <b/>
        <sz val="11"/>
        <color theme="1"/>
        <rFont val="Times New Roman"/>
        <family val="1"/>
        <charset val="204"/>
      </rPr>
      <t>в т.ч.:</t>
    </r>
    <r>
      <rPr>
        <sz val="11"/>
        <color theme="1"/>
        <rFont val="Times New Roman"/>
        <family val="1"/>
        <charset val="204"/>
      </rPr>
      <t xml:space="preserve">                                             Затраты по электроэнергии (прогрев, отопление, освещение,  межэтажное освещение, краны), обслуживание биотуалетов, уборка мусора (самосвал, погрузчик, щетка), вывоз мусора.</t>
    </r>
  </si>
  <si>
    <t xml:space="preserve">Устройство  отсечной  гидроизоляции </t>
  </si>
  <si>
    <t>Арматура А500С 12 ст.3сп/пс (11,75 м ГОСТ 52544-2006 ГОСТ 34028-2016)</t>
  </si>
  <si>
    <t>Клей для гипсокартона и пазогребневых плит</t>
  </si>
  <si>
    <t>Раствор М100</t>
  </si>
  <si>
    <t>Кирпич керамический одинарный полнотелый рядовой</t>
  </si>
  <si>
    <t>Уголок  L 75х6</t>
  </si>
  <si>
    <t>ПБП-19.19.16 ТУ23.61.12-011-83312286-20 (2700)</t>
  </si>
  <si>
    <t>Пазогребневая гипсовая плита полнотелая 667*500*80</t>
  </si>
  <si>
    <t xml:space="preserve">Клей для силикатных блоков и газоблоков </t>
  </si>
  <si>
    <t>Блок газобетонный стеновой без паза и гребня БП-200 625*200*250</t>
  </si>
  <si>
    <t>Услуги Башенного крана ( 1 месяц по 12 часов в день)</t>
  </si>
  <si>
    <t>Услуги Башенного крана (12 месяцев по 15 часов в месяц сверхнормативных, в случае если подрядчику придется пользоваться БК вне базовых 12 часов в смену)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</si>
</sst>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38" x14ac:knownFonts="1">
    <font>
      <sz val="11"/>
      <color theme="1"/>
      <name val="Calibri"/>
      <family val="2"/>
      <scheme val="minor"/>
    </font>
    <font>
      <sz val="11"/>
      <color theme="1"/>
      <name val="Calibri"/>
      <family val="2"/>
      <charset val="204"/>
      <scheme val="minor"/>
    </font>
    <font>
      <sz val="11"/>
      <color theme="1"/>
      <name val="Calibri"/>
      <family val="2"/>
      <scheme val="minor"/>
    </font>
    <font>
      <sz val="11"/>
      <color rgb="FFFF0000"/>
      <name val="Times New Roman"/>
      <family val="1"/>
      <charset val="204"/>
    </font>
    <font>
      <sz val="10"/>
      <color theme="1"/>
      <name val="Times New Roman"/>
      <family val="1"/>
      <charset val="204"/>
    </font>
    <font>
      <sz val="12"/>
      <color theme="1"/>
      <name val="Times New Roman"/>
      <family val="1"/>
      <charset val="204"/>
    </font>
    <font>
      <sz val="10"/>
      <color rgb="FFFF0000"/>
      <name val="Times New Roman"/>
      <family val="1"/>
      <charset val="204"/>
    </font>
    <font>
      <b/>
      <sz val="14"/>
      <color theme="1"/>
      <name val="Times New Roman"/>
      <family val="1"/>
      <charset val="204"/>
    </font>
    <font>
      <b/>
      <sz val="12"/>
      <color theme="1"/>
      <name val="Times New Roman"/>
      <family val="1"/>
      <charset val="204"/>
    </font>
    <font>
      <i/>
      <sz val="12"/>
      <color theme="1"/>
      <name val="Times New Roman"/>
      <family val="1"/>
      <charset val="204"/>
    </font>
    <font>
      <b/>
      <sz val="11"/>
      <color theme="1"/>
      <name val="Times New Roman"/>
      <family val="1"/>
      <charset val="204"/>
    </font>
    <font>
      <sz val="10"/>
      <name val="Times New Roman"/>
      <family val="1"/>
      <charset val="204"/>
    </font>
    <font>
      <b/>
      <sz val="11"/>
      <name val="Times New Roman"/>
      <family val="1"/>
      <charset val="204"/>
    </font>
    <font>
      <sz val="11"/>
      <name val="Times New Roman"/>
      <family val="1"/>
      <charset val="204"/>
    </font>
    <font>
      <sz val="10"/>
      <name val="Arial"/>
      <family val="2"/>
      <charset val="204"/>
    </font>
    <font>
      <sz val="11"/>
      <color theme="1"/>
      <name val="Times New Roman"/>
      <family val="1"/>
      <charset val="204"/>
    </font>
    <font>
      <b/>
      <sz val="11"/>
      <color rgb="FF000000"/>
      <name val="Times New Roman"/>
      <family val="1"/>
      <charset val="204"/>
    </font>
    <font>
      <sz val="11"/>
      <color rgb="FF000000"/>
      <name val="Calibri"/>
      <family val="2"/>
      <charset val="204"/>
    </font>
    <font>
      <sz val="11"/>
      <color rgb="FF000000"/>
      <name val="Times New Roman"/>
      <family val="1"/>
      <charset val="204"/>
    </font>
    <font>
      <sz val="12"/>
      <name val="Times New Roman"/>
      <family val="1"/>
      <charset val="204"/>
    </font>
    <font>
      <sz val="12"/>
      <color rgb="FFFF0000"/>
      <name val="Times New Roman"/>
      <family val="1"/>
      <charset val="204"/>
    </font>
    <font>
      <sz val="11"/>
      <color indexed="64"/>
      <name val="Times New Roman"/>
      <family val="1"/>
      <charset val="204"/>
    </font>
    <font>
      <b/>
      <sz val="11"/>
      <color indexed="64"/>
      <name val="Times New Roman"/>
      <family val="1"/>
      <charset val="204"/>
    </font>
    <font>
      <b/>
      <i/>
      <sz val="11"/>
      <color theme="1"/>
      <name val="Times New Roman"/>
      <family val="1"/>
      <charset val="204"/>
    </font>
    <font>
      <i/>
      <sz val="11"/>
      <color theme="1"/>
      <name val="Times New Roman"/>
      <family val="1"/>
      <charset val="204"/>
    </font>
    <font>
      <i/>
      <sz val="11"/>
      <name val="Times New Roman"/>
      <family val="1"/>
      <charset val="204"/>
    </font>
    <font>
      <i/>
      <sz val="12"/>
      <name val="Times New Roman"/>
      <family val="1"/>
      <charset val="204"/>
    </font>
    <font>
      <b/>
      <i/>
      <sz val="12"/>
      <color theme="1"/>
      <name val="Times New Roman"/>
      <family val="1"/>
      <charset val="204"/>
    </font>
    <font>
      <sz val="9"/>
      <color rgb="FFFF0000"/>
      <name val="Times New Roman"/>
      <family val="1"/>
      <charset val="204"/>
    </font>
    <font>
      <b/>
      <sz val="9"/>
      <color theme="1"/>
      <name val="Times New Roman"/>
      <family val="1"/>
      <charset val="204"/>
    </font>
    <font>
      <sz val="9"/>
      <name val="Times New Roman"/>
      <family val="1"/>
      <charset val="204"/>
    </font>
    <font>
      <sz val="9"/>
      <color theme="1"/>
      <name val="Times New Roman"/>
      <family val="1"/>
      <charset val="204"/>
    </font>
    <font>
      <i/>
      <sz val="9"/>
      <color theme="1"/>
      <name val="Times New Roman"/>
      <family val="1"/>
      <charset val="204"/>
    </font>
    <font>
      <b/>
      <i/>
      <sz val="11"/>
      <name val="Times New Roman"/>
      <family val="1"/>
      <charset val="204"/>
    </font>
    <font>
      <b/>
      <i/>
      <sz val="9"/>
      <color theme="1"/>
      <name val="Times New Roman"/>
      <family val="1"/>
      <charset val="204"/>
    </font>
    <font>
      <sz val="8"/>
      <name val="Arial"/>
      <family val="2"/>
    </font>
    <font>
      <b/>
      <sz val="10"/>
      <color indexed="63"/>
      <name val="Times New Roman"/>
      <family val="1"/>
      <charset val="204"/>
    </font>
    <font>
      <sz val="12"/>
      <color indexed="64"/>
      <name val="Times New Roman"/>
      <family val="1"/>
      <charset val="204"/>
    </font>
  </fonts>
  <fills count="15">
    <fill>
      <patternFill patternType="none"/>
    </fill>
    <fill>
      <patternFill patternType="gray125"/>
    </fill>
    <fill>
      <patternFill patternType="solid">
        <fgColor theme="0"/>
        <bgColor theme="0"/>
      </patternFill>
    </fill>
    <fill>
      <patternFill patternType="solid">
        <fgColor rgb="FFD7E2EF"/>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4" tint="0.39997558519241921"/>
        <bgColor theme="0"/>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59999389629810485"/>
        <bgColor theme="0"/>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00B0F0"/>
        <bgColor theme="0"/>
      </patternFill>
    </fill>
    <fill>
      <patternFill patternType="solid">
        <fgColor rgb="FF00B0F0"/>
        <bgColor indexed="64"/>
      </patternFill>
    </fill>
  </fills>
  <borders count="44">
    <border>
      <left/>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bottom style="thin">
        <color auto="1"/>
      </bottom>
      <diagonal/>
    </border>
    <border>
      <left style="thin">
        <color indexed="64"/>
      </left>
      <right style="thin">
        <color indexed="64"/>
      </right>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55"/>
      </right>
      <top style="thin">
        <color indexed="55"/>
      </top>
      <bottom style="thin">
        <color indexed="55"/>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
    <xf numFmtId="0" fontId="0" fillId="0" borderId="0"/>
    <xf numFmtId="43" fontId="2" fillId="0" borderId="0" applyFont="0" applyFill="0" applyBorder="0" applyAlignment="0" applyProtection="0"/>
    <xf numFmtId="0" fontId="14" fillId="0" borderId="0"/>
    <xf numFmtId="0" fontId="17" fillId="0" borderId="0"/>
    <xf numFmtId="43" fontId="14" fillId="0" borderId="0" applyFont="0" applyFill="0" applyBorder="0" applyProtection="0"/>
    <xf numFmtId="0" fontId="2" fillId="0" borderId="0"/>
    <xf numFmtId="0" fontId="35" fillId="0" borderId="0"/>
    <xf numFmtId="0" fontId="1" fillId="0" borderId="0"/>
  </cellStyleXfs>
  <cellXfs count="486">
    <xf numFmtId="0" fontId="0" fillId="0" borderId="0" xfId="0"/>
    <xf numFmtId="43" fontId="10" fillId="3" borderId="2" xfId="1" applyFont="1" applyFill="1" applyBorder="1" applyAlignment="1" applyProtection="1">
      <alignment horizontal="center" vertical="center" wrapText="1"/>
    </xf>
    <xf numFmtId="4" fontId="10" fillId="3" borderId="2" xfId="1" applyNumberFormat="1" applyFont="1" applyFill="1" applyBorder="1" applyAlignment="1" applyProtection="1">
      <alignment horizontal="center" vertical="center" wrapText="1"/>
    </xf>
    <xf numFmtId="43" fontId="10" fillId="3" borderId="6" xfId="1" applyFont="1" applyFill="1" applyBorder="1" applyAlignment="1" applyProtection="1">
      <alignment horizontal="center" vertical="center" wrapText="1"/>
    </xf>
    <xf numFmtId="4" fontId="10" fillId="3" borderId="6" xfId="1" applyNumberFormat="1" applyFont="1" applyFill="1" applyBorder="1" applyAlignment="1" applyProtection="1">
      <alignment horizontal="center" vertical="center" wrapText="1"/>
    </xf>
    <xf numFmtId="4" fontId="10" fillId="3" borderId="3" xfId="1" applyNumberFormat="1" applyFont="1" applyFill="1" applyBorder="1" applyAlignment="1" applyProtection="1">
      <alignment horizontal="center" vertical="center" wrapText="1"/>
    </xf>
    <xf numFmtId="4" fontId="10" fillId="3" borderId="4" xfId="1" applyNumberFormat="1" applyFont="1" applyFill="1" applyBorder="1" applyAlignment="1" applyProtection="1">
      <alignment horizontal="center" vertical="center" wrapText="1"/>
    </xf>
    <xf numFmtId="4" fontId="10" fillId="3" borderId="8" xfId="1" applyNumberFormat="1" applyFont="1" applyFill="1" applyBorder="1" applyAlignment="1" applyProtection="1">
      <alignment horizontal="center" vertical="center" wrapText="1"/>
    </xf>
    <xf numFmtId="4" fontId="10" fillId="3" borderId="9" xfId="1" applyNumberFormat="1" applyFont="1" applyFill="1" applyBorder="1" applyAlignment="1" applyProtection="1">
      <alignment horizontal="center" vertical="center" wrapText="1"/>
    </xf>
    <xf numFmtId="4" fontId="10" fillId="3" borderId="10" xfId="1" applyNumberFormat="1" applyFont="1" applyFill="1" applyBorder="1" applyAlignment="1" applyProtection="1">
      <alignment horizontal="center" vertical="center" wrapText="1"/>
    </xf>
    <xf numFmtId="4" fontId="12" fillId="0" borderId="2" xfId="4" applyNumberFormat="1" applyFont="1" applyFill="1" applyBorder="1" applyAlignment="1" applyProtection="1">
      <alignment horizontal="center" vertical="center" wrapText="1"/>
    </xf>
    <xf numFmtId="49" fontId="10" fillId="3" borderId="1" xfId="1" applyNumberFormat="1" applyFont="1" applyFill="1" applyBorder="1" applyAlignment="1" applyProtection="1">
      <alignment horizontal="center" vertical="center" wrapText="1"/>
    </xf>
    <xf numFmtId="4" fontId="13" fillId="8" borderId="2" xfId="4" applyNumberFormat="1" applyFont="1" applyFill="1" applyBorder="1" applyAlignment="1" applyProtection="1">
      <alignment horizontal="center" vertical="center" wrapText="1"/>
    </xf>
    <xf numFmtId="4" fontId="12" fillId="8" borderId="2" xfId="4" applyNumberFormat="1" applyFont="1" applyFill="1" applyBorder="1" applyAlignment="1" applyProtection="1">
      <alignment horizontal="center" vertical="center" wrapText="1"/>
    </xf>
    <xf numFmtId="4" fontId="12" fillId="7" borderId="2" xfId="4" applyNumberFormat="1" applyFont="1" applyFill="1" applyBorder="1" applyAlignment="1" applyProtection="1">
      <alignment horizontal="center" vertical="center" wrapText="1"/>
    </xf>
    <xf numFmtId="164" fontId="12" fillId="0" borderId="2" xfId="4" applyNumberFormat="1" applyFont="1" applyFill="1" applyBorder="1" applyAlignment="1" applyProtection="1">
      <alignment horizontal="center" vertical="center" wrapText="1"/>
    </xf>
    <xf numFmtId="0" fontId="15" fillId="0" borderId="0" xfId="7" applyFont="1" applyAlignment="1" applyProtection="1">
      <alignment vertical="center"/>
      <protection locked="0"/>
    </xf>
    <xf numFmtId="4" fontId="3" fillId="0" borderId="0" xfId="0" applyNumberFormat="1" applyFont="1" applyAlignment="1" applyProtection="1">
      <alignment horizontal="center" vertical="center"/>
    </xf>
    <xf numFmtId="4" fontId="3" fillId="0" borderId="0" xfId="0" applyNumberFormat="1" applyFont="1" applyProtection="1"/>
    <xf numFmtId="0" fontId="6" fillId="0" borderId="0" xfId="0" applyFont="1" applyProtection="1"/>
    <xf numFmtId="0" fontId="20" fillId="0" borderId="0" xfId="0" applyFont="1" applyProtection="1"/>
    <xf numFmtId="0" fontId="20" fillId="0" borderId="0" xfId="0" applyFont="1" applyAlignment="1" applyProtection="1">
      <alignment horizontal="right"/>
    </xf>
    <xf numFmtId="4" fontId="6" fillId="0" borderId="0" xfId="0" applyNumberFormat="1" applyFont="1" applyAlignment="1" applyProtection="1">
      <alignment horizontal="center" vertical="center"/>
    </xf>
    <xf numFmtId="4" fontId="6" fillId="0" borderId="0" xfId="0" applyNumberFormat="1" applyFont="1" applyProtection="1"/>
    <xf numFmtId="4" fontId="15" fillId="0" borderId="0" xfId="0" applyNumberFormat="1" applyFont="1" applyAlignment="1" applyProtection="1">
      <alignment horizontal="center" vertical="center"/>
    </xf>
    <xf numFmtId="0" fontId="4" fillId="0" borderId="0" xfId="0" applyFont="1" applyProtection="1"/>
    <xf numFmtId="0" fontId="5" fillId="0" borderId="0" xfId="0" applyFont="1" applyProtection="1"/>
    <xf numFmtId="0" fontId="5" fillId="0" borderId="0" xfId="0" applyFont="1" applyAlignment="1" applyProtection="1">
      <alignment horizontal="right"/>
    </xf>
    <xf numFmtId="49" fontId="5" fillId="0" borderId="0" xfId="0" applyNumberFormat="1" applyFont="1" applyAlignment="1" applyProtection="1">
      <alignment horizontal="center" vertical="center" wrapText="1"/>
    </xf>
    <xf numFmtId="49" fontId="10" fillId="6" borderId="1" xfId="0" applyNumberFormat="1" applyFont="1" applyFill="1" applyBorder="1" applyAlignment="1" applyProtection="1">
      <alignment horizontal="center" vertical="center" wrapText="1"/>
    </xf>
    <xf numFmtId="0" fontId="10" fillId="7" borderId="2" xfId="0" applyFont="1" applyFill="1" applyBorder="1" applyAlignment="1" applyProtection="1">
      <alignment horizontal="left" vertical="center" wrapText="1"/>
    </xf>
    <xf numFmtId="4" fontId="10" fillId="6" borderId="2" xfId="0" applyNumberFormat="1" applyFont="1" applyFill="1" applyBorder="1" applyAlignment="1" applyProtection="1">
      <alignment horizontal="center" vertical="center" wrapText="1"/>
    </xf>
    <xf numFmtId="4" fontId="10" fillId="6" borderId="3" xfId="0" applyNumberFormat="1" applyFont="1" applyFill="1" applyBorder="1" applyAlignment="1" applyProtection="1">
      <alignment horizontal="center" vertical="center" wrapText="1"/>
    </xf>
    <xf numFmtId="0" fontId="13" fillId="7" borderId="2" xfId="0" applyFont="1" applyFill="1" applyBorder="1" applyProtection="1"/>
    <xf numFmtId="4" fontId="10" fillId="6" borderId="11" xfId="0" applyNumberFormat="1" applyFont="1" applyFill="1" applyBorder="1" applyAlignment="1" applyProtection="1">
      <alignment horizontal="center" vertical="center" wrapText="1"/>
    </xf>
    <xf numFmtId="4" fontId="6" fillId="7" borderId="0" xfId="0" applyNumberFormat="1" applyFont="1" applyFill="1" applyAlignment="1" applyProtection="1">
      <alignment horizontal="center" vertical="center"/>
    </xf>
    <xf numFmtId="4" fontId="6" fillId="7" borderId="0" xfId="0" applyNumberFormat="1" applyFont="1" applyFill="1" applyProtection="1"/>
    <xf numFmtId="49" fontId="10" fillId="9" borderId="1" xfId="0" applyNumberFormat="1" applyFont="1" applyFill="1" applyBorder="1" applyAlignment="1" applyProtection="1">
      <alignment horizontal="center" vertical="center" wrapText="1"/>
    </xf>
    <xf numFmtId="0" fontId="10" fillId="5" borderId="2" xfId="0" applyFont="1" applyFill="1" applyBorder="1" applyAlignment="1" applyProtection="1">
      <alignment horizontal="left" vertical="center" wrapText="1"/>
    </xf>
    <xf numFmtId="4" fontId="10" fillId="9" borderId="2" xfId="0" applyNumberFormat="1" applyFont="1" applyFill="1" applyBorder="1" applyAlignment="1" applyProtection="1">
      <alignment horizontal="center" vertical="center" wrapText="1"/>
    </xf>
    <xf numFmtId="4" fontId="10" fillId="9" borderId="3" xfId="0" applyNumberFormat="1" applyFont="1" applyFill="1" applyBorder="1" applyAlignment="1" applyProtection="1">
      <alignment horizontal="center" vertical="center" wrapText="1"/>
    </xf>
    <xf numFmtId="0" fontId="13" fillId="5" borderId="2" xfId="0" applyFont="1" applyFill="1" applyBorder="1" applyProtection="1"/>
    <xf numFmtId="4" fontId="10" fillId="9" borderId="11" xfId="0" applyNumberFormat="1" applyFont="1" applyFill="1" applyBorder="1" applyAlignment="1" applyProtection="1">
      <alignment horizontal="center" vertical="center" wrapText="1"/>
    </xf>
    <xf numFmtId="4" fontId="6" fillId="5" borderId="0" xfId="0" applyNumberFormat="1" applyFont="1" applyFill="1" applyAlignment="1" applyProtection="1">
      <alignment horizontal="center" vertical="center"/>
    </xf>
    <xf numFmtId="4" fontId="6" fillId="5" borderId="0" xfId="0" applyNumberFormat="1" applyFont="1" applyFill="1" applyProtection="1"/>
    <xf numFmtId="49" fontId="16" fillId="8" borderId="1" xfId="3" applyNumberFormat="1" applyFont="1" applyFill="1" applyBorder="1" applyAlignment="1" applyProtection="1">
      <alignment horizontal="center" vertical="center"/>
    </xf>
    <xf numFmtId="0" fontId="10" fillId="8" borderId="2" xfId="0" applyFont="1" applyFill="1" applyBorder="1" applyAlignment="1" applyProtection="1">
      <alignment horizontal="left" vertical="center" wrapText="1"/>
    </xf>
    <xf numFmtId="0" fontId="13" fillId="8" borderId="2" xfId="3" applyFont="1" applyFill="1" applyBorder="1" applyAlignment="1" applyProtection="1">
      <alignment horizontal="center" vertical="center" wrapText="1"/>
    </xf>
    <xf numFmtId="3" fontId="13" fillId="8" borderId="2" xfId="3" applyNumberFormat="1" applyFont="1" applyFill="1" applyBorder="1" applyAlignment="1" applyProtection="1">
      <alignment horizontal="center" vertical="center"/>
    </xf>
    <xf numFmtId="4" fontId="13" fillId="8" borderId="3" xfId="2" applyNumberFormat="1" applyFont="1" applyFill="1" applyBorder="1" applyAlignment="1" applyProtection="1">
      <alignment horizontal="center" vertical="center" wrapText="1"/>
    </xf>
    <xf numFmtId="4" fontId="13" fillId="8" borderId="2" xfId="2" applyNumberFormat="1" applyFont="1" applyFill="1" applyBorder="1" applyAlignment="1" applyProtection="1">
      <alignment horizontal="center" vertical="center" wrapText="1"/>
    </xf>
    <xf numFmtId="4" fontId="16" fillId="8" borderId="3" xfId="3" applyNumberFormat="1" applyFont="1" applyFill="1" applyBorder="1" applyAlignment="1" applyProtection="1">
      <alignment horizontal="center" vertical="center"/>
    </xf>
    <xf numFmtId="49" fontId="18" fillId="0" borderId="1" xfId="3" applyNumberFormat="1" applyFont="1" applyFill="1" applyBorder="1" applyAlignment="1" applyProtection="1">
      <alignment horizontal="center" vertical="center"/>
    </xf>
    <xf numFmtId="0" fontId="13" fillId="0" borderId="2" xfId="3" applyFont="1" applyFill="1" applyBorder="1" applyAlignment="1" applyProtection="1">
      <alignment horizontal="center" vertical="center" wrapText="1"/>
    </xf>
    <xf numFmtId="3" fontId="13" fillId="0" borderId="2" xfId="3" applyNumberFormat="1" applyFont="1" applyFill="1" applyBorder="1" applyAlignment="1" applyProtection="1">
      <alignment horizontal="center" vertical="center"/>
    </xf>
    <xf numFmtId="4" fontId="12" fillId="0" borderId="3" xfId="2" applyNumberFormat="1" applyFont="1" applyFill="1" applyBorder="1" applyAlignment="1" applyProtection="1">
      <alignment horizontal="center" vertical="center" wrapText="1"/>
    </xf>
    <xf numFmtId="4" fontId="12" fillId="0" borderId="2" xfId="2" applyNumberFormat="1" applyFont="1" applyFill="1" applyBorder="1" applyAlignment="1" applyProtection="1">
      <alignment horizontal="center" vertical="center" wrapText="1"/>
    </xf>
    <xf numFmtId="4" fontId="16" fillId="0" borderId="2" xfId="3" applyNumberFormat="1" applyFont="1" applyFill="1" applyBorder="1" applyAlignment="1" applyProtection="1">
      <alignment horizontal="center" vertical="center"/>
    </xf>
    <xf numFmtId="4" fontId="18" fillId="0" borderId="2" xfId="0" applyNumberFormat="1" applyFont="1" applyBorder="1" applyAlignment="1" applyProtection="1">
      <alignment horizontal="center" vertical="center" wrapText="1"/>
    </xf>
    <xf numFmtId="4" fontId="12" fillId="0" borderId="2" xfId="3" applyNumberFormat="1" applyFont="1" applyFill="1" applyBorder="1" applyAlignment="1" applyProtection="1">
      <alignment horizontal="center" vertical="center" wrapText="1"/>
    </xf>
    <xf numFmtId="4" fontId="16" fillId="0" borderId="3" xfId="3" applyNumberFormat="1" applyFont="1" applyFill="1" applyBorder="1" applyAlignment="1" applyProtection="1">
      <alignment horizontal="center" vertical="center"/>
    </xf>
    <xf numFmtId="4" fontId="13" fillId="0" borderId="2" xfId="0" applyNumberFormat="1" applyFont="1" applyFill="1" applyBorder="1" applyAlignment="1" applyProtection="1">
      <alignment horizontal="center" vertical="center"/>
    </xf>
    <xf numFmtId="4" fontId="13" fillId="0" borderId="3" xfId="0" applyNumberFormat="1" applyFont="1" applyFill="1" applyBorder="1" applyAlignment="1" applyProtection="1">
      <alignment horizontal="center" vertical="center"/>
    </xf>
    <xf numFmtId="4" fontId="15" fillId="0" borderId="3" xfId="0" applyNumberFormat="1" applyFont="1" applyBorder="1" applyAlignment="1" applyProtection="1">
      <alignment horizontal="center" vertical="center" wrapText="1"/>
    </xf>
    <xf numFmtId="4" fontId="15" fillId="0" borderId="2" xfId="0" applyNumberFormat="1" applyFont="1" applyFill="1" applyBorder="1" applyAlignment="1" applyProtection="1">
      <alignment horizontal="center" vertical="center" wrapText="1"/>
    </xf>
    <xf numFmtId="4" fontId="15" fillId="8" borderId="2" xfId="0" applyNumberFormat="1" applyFont="1" applyFill="1" applyBorder="1" applyAlignment="1" applyProtection="1">
      <alignment horizontal="center" vertical="center" wrapText="1"/>
    </xf>
    <xf numFmtId="4" fontId="15" fillId="8" borderId="2" xfId="0" applyNumberFormat="1" applyFont="1" applyFill="1" applyBorder="1" applyAlignment="1" applyProtection="1">
      <alignment horizontal="center" vertical="center"/>
    </xf>
    <xf numFmtId="4" fontId="15" fillId="8" borderId="3" xfId="0" applyNumberFormat="1" applyFont="1" applyFill="1" applyBorder="1" applyAlignment="1" applyProtection="1">
      <alignment horizontal="center" vertical="center" wrapText="1"/>
    </xf>
    <xf numFmtId="4" fontId="18" fillId="8" borderId="2" xfId="0" applyNumberFormat="1" applyFont="1" applyFill="1" applyBorder="1" applyAlignment="1" applyProtection="1">
      <alignment horizontal="center" vertical="center" wrapText="1"/>
    </xf>
    <xf numFmtId="4" fontId="15" fillId="8" borderId="9" xfId="0" applyNumberFormat="1" applyFont="1" applyFill="1" applyBorder="1" applyAlignment="1" applyProtection="1">
      <alignment horizontal="center" vertical="center" wrapText="1"/>
    </xf>
    <xf numFmtId="4" fontId="15" fillId="8" borderId="4" xfId="0" applyNumberFormat="1" applyFont="1" applyFill="1" applyBorder="1" applyAlignment="1" applyProtection="1">
      <alignment horizontal="center" vertical="center" wrapText="1"/>
    </xf>
    <xf numFmtId="4" fontId="16" fillId="8" borderId="2" xfId="3" applyNumberFormat="1" applyFont="1" applyFill="1" applyBorder="1" applyAlignment="1" applyProtection="1">
      <alignment horizontal="center" vertical="center"/>
    </xf>
    <xf numFmtId="4" fontId="12" fillId="8" borderId="2" xfId="3" applyNumberFormat="1" applyFont="1" applyFill="1" applyBorder="1" applyAlignment="1" applyProtection="1">
      <alignment horizontal="center" vertical="center" wrapText="1"/>
    </xf>
    <xf numFmtId="49" fontId="16" fillId="7" borderId="1" xfId="3" applyNumberFormat="1" applyFont="1" applyFill="1" applyBorder="1" applyAlignment="1" applyProtection="1">
      <alignment horizontal="center" vertical="center"/>
    </xf>
    <xf numFmtId="0" fontId="12" fillId="7" borderId="2" xfId="3" applyFont="1" applyFill="1" applyBorder="1" applyAlignment="1" applyProtection="1">
      <alignment vertical="center" wrapText="1"/>
    </xf>
    <xf numFmtId="0" fontId="13" fillId="7" borderId="2" xfId="3" applyFont="1" applyFill="1" applyBorder="1" applyAlignment="1" applyProtection="1">
      <alignment horizontal="center" vertical="center" wrapText="1"/>
    </xf>
    <xf numFmtId="3" fontId="13" fillId="7" borderId="2" xfId="3" applyNumberFormat="1" applyFont="1" applyFill="1" applyBorder="1" applyAlignment="1" applyProtection="1">
      <alignment horizontal="center" vertical="center"/>
    </xf>
    <xf numFmtId="4" fontId="12" fillId="7" borderId="3" xfId="2" applyNumberFormat="1" applyFont="1" applyFill="1" applyBorder="1" applyAlignment="1" applyProtection="1">
      <alignment horizontal="center" vertical="center" wrapText="1"/>
    </xf>
    <xf numFmtId="4" fontId="12" fillId="7" borderId="2" xfId="2" applyNumberFormat="1" applyFont="1" applyFill="1" applyBorder="1" applyAlignment="1" applyProtection="1">
      <alignment horizontal="center" vertical="center" wrapText="1"/>
    </xf>
    <xf numFmtId="4" fontId="18" fillId="7" borderId="2" xfId="0" applyNumberFormat="1" applyFont="1" applyFill="1" applyBorder="1" applyAlignment="1" applyProtection="1">
      <alignment horizontal="center" vertical="center" wrapText="1"/>
    </xf>
    <xf numFmtId="4" fontId="16" fillId="7" borderId="2" xfId="3" applyNumberFormat="1" applyFont="1" applyFill="1" applyBorder="1" applyAlignment="1" applyProtection="1">
      <alignment horizontal="center" vertical="center"/>
    </xf>
    <xf numFmtId="4" fontId="12" fillId="7" borderId="2" xfId="3" applyNumberFormat="1" applyFont="1" applyFill="1" applyBorder="1" applyAlignment="1" applyProtection="1">
      <alignment horizontal="center" vertical="center" wrapText="1"/>
    </xf>
    <xf numFmtId="4" fontId="16" fillId="7" borderId="3" xfId="3" applyNumberFormat="1" applyFont="1" applyFill="1" applyBorder="1" applyAlignment="1" applyProtection="1">
      <alignment horizontal="center" vertical="center"/>
    </xf>
    <xf numFmtId="4" fontId="12" fillId="8" borderId="3" xfId="2" applyNumberFormat="1" applyFont="1" applyFill="1" applyBorder="1" applyAlignment="1" applyProtection="1">
      <alignment horizontal="center" vertical="center" wrapText="1"/>
    </xf>
    <xf numFmtId="4" fontId="12" fillId="8" borderId="2" xfId="2" applyNumberFormat="1" applyFont="1" applyFill="1" applyBorder="1" applyAlignment="1" applyProtection="1">
      <alignment horizontal="center" vertical="center" wrapText="1"/>
    </xf>
    <xf numFmtId="4" fontId="15" fillId="0" borderId="2" xfId="0" applyNumberFormat="1" applyFont="1" applyFill="1" applyBorder="1" applyAlignment="1" applyProtection="1">
      <alignment vertical="center" wrapText="1"/>
    </xf>
    <xf numFmtId="164" fontId="12" fillId="0" borderId="2" xfId="2" applyNumberFormat="1" applyFont="1" applyFill="1" applyBorder="1" applyAlignment="1" applyProtection="1">
      <alignment horizontal="center" vertical="center" wrapText="1"/>
    </xf>
    <xf numFmtId="164" fontId="12" fillId="0" borderId="3" xfId="2" applyNumberFormat="1" applyFont="1" applyFill="1" applyBorder="1" applyAlignment="1" applyProtection="1">
      <alignment horizontal="center" vertical="center" wrapText="1"/>
    </xf>
    <xf numFmtId="0" fontId="12" fillId="8" borderId="2" xfId="3" applyFont="1" applyFill="1" applyBorder="1" applyAlignment="1" applyProtection="1">
      <alignment vertical="center" wrapText="1"/>
    </xf>
    <xf numFmtId="4" fontId="16" fillId="8" borderId="2" xfId="0" applyNumberFormat="1" applyFont="1" applyFill="1" applyBorder="1" applyAlignment="1" applyProtection="1">
      <alignment horizontal="center" vertical="center" wrapText="1"/>
    </xf>
    <xf numFmtId="4" fontId="15" fillId="0" borderId="2" xfId="0" applyNumberFormat="1" applyFont="1" applyFill="1" applyBorder="1" applyAlignment="1" applyProtection="1">
      <alignment horizontal="center" vertical="center"/>
    </xf>
    <xf numFmtId="0" fontId="11" fillId="0" borderId="2" xfId="3" applyFont="1" applyFill="1" applyBorder="1" applyAlignment="1" applyProtection="1">
      <alignment horizontal="center" vertical="center" wrapText="1"/>
    </xf>
    <xf numFmtId="4" fontId="15" fillId="0" borderId="3" xfId="0" applyNumberFormat="1" applyFont="1" applyFill="1" applyBorder="1" applyAlignment="1" applyProtection="1">
      <alignment horizontal="center" vertical="center" wrapText="1"/>
    </xf>
    <xf numFmtId="0" fontId="15" fillId="0" borderId="0" xfId="0" applyFont="1" applyFill="1" applyProtection="1"/>
    <xf numFmtId="4" fontId="15" fillId="6" borderId="2" xfId="0" applyNumberFormat="1" applyFont="1" applyFill="1" applyBorder="1" applyAlignment="1" applyProtection="1">
      <alignment horizontal="center" vertical="center" wrapText="1"/>
    </xf>
    <xf numFmtId="4" fontId="13" fillId="0" borderId="3" xfId="2" applyNumberFormat="1" applyFont="1" applyFill="1" applyBorder="1" applyAlignment="1" applyProtection="1">
      <alignment horizontal="center" vertical="center" wrapText="1"/>
    </xf>
    <xf numFmtId="4" fontId="13" fillId="0" borderId="2" xfId="2" applyNumberFormat="1" applyFont="1" applyFill="1" applyBorder="1" applyAlignment="1" applyProtection="1">
      <alignment horizontal="center" vertical="center" wrapText="1"/>
    </xf>
    <xf numFmtId="49" fontId="10" fillId="3" borderId="5" xfId="0" applyNumberFormat="1" applyFont="1" applyFill="1" applyBorder="1" applyAlignment="1" applyProtection="1">
      <alignment horizontal="left" vertical="center" wrapText="1"/>
    </xf>
    <xf numFmtId="49" fontId="10" fillId="3" borderId="6" xfId="0" applyNumberFormat="1" applyFont="1" applyFill="1" applyBorder="1" applyAlignment="1" applyProtection="1">
      <alignment horizontal="center" vertical="center" wrapText="1"/>
    </xf>
    <xf numFmtId="4" fontId="10" fillId="3" borderId="6" xfId="0" applyNumberFormat="1" applyFont="1" applyFill="1" applyBorder="1" applyAlignment="1" applyProtection="1">
      <alignment horizontal="center" vertical="center" wrapText="1"/>
    </xf>
    <xf numFmtId="4" fontId="10" fillId="3" borderId="7" xfId="0" applyNumberFormat="1" applyFont="1" applyFill="1" applyBorder="1" applyAlignment="1" applyProtection="1">
      <alignment horizontal="center" vertical="center" wrapText="1"/>
    </xf>
    <xf numFmtId="0" fontId="10" fillId="0" borderId="0" xfId="0" applyFont="1" applyAlignment="1" applyProtection="1">
      <alignment vertical="center"/>
    </xf>
    <xf numFmtId="0" fontId="15" fillId="0" borderId="0" xfId="0" applyFont="1" applyAlignment="1" applyProtection="1">
      <alignment horizontal="center" vertical="center"/>
    </xf>
    <xf numFmtId="0" fontId="15" fillId="0" borderId="0" xfId="7" applyFont="1" applyAlignment="1" applyProtection="1">
      <alignment vertical="center"/>
    </xf>
    <xf numFmtId="49" fontId="15" fillId="0" borderId="0" xfId="0" applyNumberFormat="1" applyFont="1" applyProtection="1"/>
    <xf numFmtId="0" fontId="15" fillId="0" borderId="0" xfId="0" applyFont="1" applyProtection="1"/>
    <xf numFmtId="0" fontId="23" fillId="0" borderId="0" xfId="0" applyFont="1" applyAlignment="1" applyProtection="1">
      <alignment vertical="center"/>
    </xf>
    <xf numFmtId="0" fontId="23" fillId="0" borderId="0" xfId="0" applyFont="1" applyAlignment="1" applyProtection="1">
      <alignment horizontal="center" vertical="center"/>
    </xf>
    <xf numFmtId="0" fontId="24"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Alignment="1" applyProtection="1">
      <alignment vertical="center"/>
    </xf>
    <xf numFmtId="4" fontId="9" fillId="0" borderId="0" xfId="0" applyNumberFormat="1" applyFont="1" applyAlignment="1" applyProtection="1">
      <alignment horizontal="center" vertical="center"/>
    </xf>
    <xf numFmtId="0" fontId="24" fillId="0" borderId="0" xfId="0" applyFont="1" applyAlignment="1" applyProtection="1">
      <alignment horizontal="center" vertical="center"/>
    </xf>
    <xf numFmtId="4" fontId="24" fillId="0" borderId="0" xfId="0" applyNumberFormat="1" applyFont="1" applyAlignment="1" applyProtection="1">
      <alignment horizontal="center" vertical="center"/>
    </xf>
    <xf numFmtId="4" fontId="25" fillId="0" borderId="0" xfId="0" applyNumberFormat="1" applyFont="1" applyAlignment="1" applyProtection="1">
      <alignment horizontal="center" vertical="center"/>
    </xf>
    <xf numFmtId="49" fontId="24" fillId="0" borderId="0" xfId="0" applyNumberFormat="1" applyFont="1" applyAlignment="1" applyProtection="1">
      <alignment vertical="center"/>
    </xf>
    <xf numFmtId="49" fontId="24" fillId="0" borderId="0" xfId="0" applyNumberFormat="1" applyFont="1" applyAlignment="1" applyProtection="1">
      <alignment horizontal="center" vertical="center"/>
    </xf>
    <xf numFmtId="4" fontId="26" fillId="0" borderId="0" xfId="0" applyNumberFormat="1" applyFont="1" applyAlignment="1" applyProtection="1">
      <alignment horizontal="center" vertical="center"/>
    </xf>
    <xf numFmtId="0" fontId="27" fillId="4" borderId="0" xfId="0" applyFont="1" applyFill="1" applyAlignment="1" applyProtection="1">
      <alignment vertical="center"/>
    </xf>
    <xf numFmtId="0" fontId="8" fillId="4" borderId="0" xfId="0" applyFont="1" applyFill="1" applyAlignment="1" applyProtection="1">
      <alignment horizontal="center" vertical="center"/>
    </xf>
    <xf numFmtId="0" fontId="8" fillId="4" borderId="0" xfId="0" applyFont="1" applyFill="1" applyAlignment="1" applyProtection="1">
      <alignment vertical="center"/>
    </xf>
    <xf numFmtId="4" fontId="8" fillId="4" borderId="0" xfId="0" applyNumberFormat="1" applyFont="1" applyFill="1" applyAlignment="1" applyProtection="1">
      <alignment horizontal="center" vertical="center"/>
    </xf>
    <xf numFmtId="4" fontId="5" fillId="4" borderId="0" xfId="0" applyNumberFormat="1" applyFont="1" applyFill="1" applyAlignment="1" applyProtection="1">
      <alignment horizontal="center" vertical="center"/>
    </xf>
    <xf numFmtId="0" fontId="5" fillId="4" borderId="0" xfId="0" applyFont="1" applyFill="1" applyAlignment="1" applyProtection="1">
      <alignment vertical="center"/>
    </xf>
    <xf numFmtId="0" fontId="5" fillId="0" borderId="0" xfId="0" applyFont="1" applyAlignment="1" applyProtection="1">
      <alignment horizontal="center" vertical="center"/>
    </xf>
    <xf numFmtId="0" fontId="5" fillId="0" borderId="0" xfId="0" applyFont="1" applyAlignment="1" applyProtection="1">
      <alignment vertical="center"/>
    </xf>
    <xf numFmtId="4" fontId="5" fillId="0" borderId="0" xfId="0" applyNumberFormat="1" applyFont="1" applyAlignment="1" applyProtection="1">
      <alignment horizontal="center" vertical="center"/>
    </xf>
    <xf numFmtId="4" fontId="19" fillId="0" borderId="0" xfId="0" applyNumberFormat="1" applyFont="1" applyAlignment="1" applyProtection="1">
      <alignment horizontal="center" vertical="center"/>
    </xf>
    <xf numFmtId="4" fontId="10" fillId="6" borderId="4" xfId="0" applyNumberFormat="1" applyFont="1" applyFill="1" applyBorder="1" applyAlignment="1" applyProtection="1">
      <alignment horizontal="center" vertical="center" wrapText="1"/>
      <protection locked="0"/>
    </xf>
    <xf numFmtId="4" fontId="10" fillId="6" borderId="2" xfId="0" applyNumberFormat="1" applyFont="1" applyFill="1" applyBorder="1" applyAlignment="1" applyProtection="1">
      <alignment horizontal="center" vertical="center" wrapText="1"/>
      <protection locked="0"/>
    </xf>
    <xf numFmtId="4" fontId="10" fillId="9" borderId="4" xfId="0" applyNumberFormat="1" applyFont="1" applyFill="1" applyBorder="1" applyAlignment="1" applyProtection="1">
      <alignment horizontal="center" vertical="center" wrapText="1"/>
      <protection locked="0"/>
    </xf>
    <xf numFmtId="4" fontId="10" fillId="9" borderId="2" xfId="0" applyNumberFormat="1" applyFont="1" applyFill="1" applyBorder="1" applyAlignment="1" applyProtection="1">
      <alignment horizontal="center" vertical="center" wrapText="1"/>
      <protection locked="0"/>
    </xf>
    <xf numFmtId="4" fontId="21" fillId="8" borderId="4" xfId="4" applyNumberFormat="1" applyFont="1" applyFill="1" applyBorder="1" applyAlignment="1" applyProtection="1">
      <alignment horizontal="center" vertical="center" wrapText="1"/>
      <protection locked="0"/>
    </xf>
    <xf numFmtId="4" fontId="21" fillId="8" borderId="2" xfId="4" applyNumberFormat="1" applyFont="1" applyFill="1" applyBorder="1" applyAlignment="1" applyProtection="1">
      <alignment horizontal="center" vertical="center" wrapText="1"/>
      <protection locked="0"/>
    </xf>
    <xf numFmtId="4" fontId="22" fillId="0" borderId="4" xfId="4" applyNumberFormat="1" applyFont="1" applyFill="1" applyBorder="1" applyAlignment="1" applyProtection="1">
      <alignment horizontal="center" vertical="center" wrapText="1"/>
      <protection locked="0"/>
    </xf>
    <xf numFmtId="4" fontId="13" fillId="10" borderId="4" xfId="0" applyNumberFormat="1" applyFont="1" applyFill="1" applyBorder="1" applyAlignment="1" applyProtection="1">
      <alignment horizontal="center" vertical="center" wrapText="1"/>
      <protection locked="0"/>
    </xf>
    <xf numFmtId="4" fontId="13" fillId="0" borderId="2" xfId="0" applyNumberFormat="1" applyFont="1" applyBorder="1" applyAlignment="1" applyProtection="1">
      <alignment horizontal="center" vertical="center" wrapText="1"/>
      <protection locked="0"/>
    </xf>
    <xf numFmtId="4" fontId="15" fillId="10" borderId="4" xfId="0" applyNumberFormat="1" applyFont="1" applyFill="1" applyBorder="1" applyAlignment="1" applyProtection="1">
      <alignment horizontal="center" vertical="center"/>
      <protection locked="0"/>
    </xf>
    <xf numFmtId="4" fontId="18" fillId="0" borderId="2" xfId="0" applyNumberFormat="1" applyFont="1" applyBorder="1" applyAlignment="1" applyProtection="1">
      <alignment horizontal="center" vertical="center" wrapText="1"/>
      <protection locked="0"/>
    </xf>
    <xf numFmtId="4" fontId="15" fillId="8" borderId="4" xfId="0" applyNumberFormat="1" applyFont="1" applyFill="1" applyBorder="1" applyAlignment="1" applyProtection="1">
      <alignment horizontal="center" vertical="center"/>
      <protection locked="0"/>
    </xf>
    <xf numFmtId="4" fontId="18" fillId="8" borderId="2" xfId="0" applyNumberFormat="1" applyFont="1" applyFill="1" applyBorder="1" applyAlignment="1" applyProtection="1">
      <alignment horizontal="center" vertical="center" wrapText="1"/>
      <protection locked="0"/>
    </xf>
    <xf numFmtId="4" fontId="15" fillId="7" borderId="4" xfId="0" applyNumberFormat="1" applyFont="1" applyFill="1" applyBorder="1" applyAlignment="1" applyProtection="1">
      <alignment horizontal="center" vertical="center"/>
      <protection locked="0"/>
    </xf>
    <xf numFmtId="4" fontId="18" fillId="7" borderId="2" xfId="0" applyNumberFormat="1" applyFont="1" applyFill="1" applyBorder="1" applyAlignment="1" applyProtection="1">
      <alignment horizontal="center" vertical="center" wrapText="1"/>
      <protection locked="0"/>
    </xf>
    <xf numFmtId="4" fontId="18" fillId="0" borderId="2" xfId="0" applyNumberFormat="1" applyFont="1" applyFill="1" applyBorder="1" applyAlignment="1" applyProtection="1">
      <alignment horizontal="center" vertical="center" wrapText="1"/>
      <protection locked="0"/>
    </xf>
    <xf numFmtId="4" fontId="10" fillId="8" borderId="4" xfId="0" applyNumberFormat="1" applyFont="1" applyFill="1" applyBorder="1" applyAlignment="1" applyProtection="1">
      <alignment horizontal="center" vertical="center"/>
      <protection locked="0"/>
    </xf>
    <xf numFmtId="4" fontId="16" fillId="10" borderId="2" xfId="0" applyNumberFormat="1" applyFont="1" applyFill="1" applyBorder="1" applyAlignment="1" applyProtection="1">
      <alignment horizontal="center" vertical="center" wrapText="1"/>
      <protection locked="0"/>
    </xf>
    <xf numFmtId="4" fontId="28" fillId="0" borderId="0" xfId="0" applyNumberFormat="1" applyFont="1" applyAlignment="1" applyProtection="1">
      <alignment horizontal="center" vertical="center"/>
      <protection locked="0"/>
    </xf>
    <xf numFmtId="4" fontId="6" fillId="0" borderId="0" xfId="0" applyNumberFormat="1" applyFont="1" applyAlignment="1" applyProtection="1">
      <alignment horizontal="center" vertical="center"/>
      <protection locked="0"/>
    </xf>
    <xf numFmtId="4" fontId="28" fillId="7" borderId="2" xfId="0" applyNumberFormat="1" applyFont="1" applyFill="1" applyBorder="1" applyAlignment="1" applyProtection="1">
      <alignment horizontal="center" vertical="center"/>
      <protection locked="0"/>
    </xf>
    <xf numFmtId="4" fontId="6" fillId="7" borderId="0" xfId="0" applyNumberFormat="1" applyFont="1" applyFill="1" applyAlignment="1" applyProtection="1">
      <alignment horizontal="center" vertical="center"/>
      <protection locked="0"/>
    </xf>
    <xf numFmtId="4" fontId="28" fillId="5" borderId="2" xfId="0" applyNumberFormat="1" applyFont="1" applyFill="1" applyBorder="1" applyAlignment="1" applyProtection="1">
      <alignment horizontal="center" vertical="center"/>
      <protection locked="0"/>
    </xf>
    <xf numFmtId="4" fontId="6" fillId="5" borderId="0" xfId="0" applyNumberFormat="1" applyFont="1" applyFill="1" applyAlignment="1" applyProtection="1">
      <alignment horizontal="center" vertical="center"/>
      <protection locked="0"/>
    </xf>
    <xf numFmtId="4" fontId="30" fillId="0" borderId="2" xfId="5" applyNumberFormat="1" applyFont="1" applyFill="1" applyBorder="1" applyAlignment="1" applyProtection="1">
      <alignment horizontal="center" vertical="center" wrapText="1"/>
      <protection locked="0"/>
    </xf>
    <xf numFmtId="0" fontId="32" fillId="0" borderId="0" xfId="0" applyFont="1" applyAlignment="1" applyProtection="1">
      <alignment vertical="center"/>
      <protection locked="0"/>
    </xf>
    <xf numFmtId="0" fontId="9" fillId="0" borderId="0" xfId="0" applyFont="1" applyAlignment="1" applyProtection="1">
      <alignment vertical="center"/>
      <protection locked="0"/>
    </xf>
    <xf numFmtId="0" fontId="32"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31" fillId="4" borderId="0" xfId="0" applyFont="1" applyFill="1" applyAlignment="1" applyProtection="1">
      <alignment vertical="center"/>
      <protection locked="0"/>
    </xf>
    <xf numFmtId="0" fontId="5" fillId="4" borderId="0" xfId="0" applyFont="1" applyFill="1" applyAlignment="1" applyProtection="1">
      <alignment vertical="center"/>
      <protection locked="0"/>
    </xf>
    <xf numFmtId="0" fontId="31" fillId="0" borderId="0" xfId="0" applyFont="1" applyAlignment="1" applyProtection="1">
      <alignment vertical="center"/>
      <protection locked="0"/>
    </xf>
    <xf numFmtId="0" fontId="5" fillId="0" borderId="0" xfId="0" applyFont="1" applyAlignment="1" applyProtection="1">
      <alignment vertical="center"/>
      <protection locked="0"/>
    </xf>
    <xf numFmtId="4" fontId="5" fillId="0" borderId="2" xfId="0" applyNumberFormat="1" applyFont="1" applyBorder="1" applyAlignment="1" applyProtection="1">
      <alignment horizontal="center" vertical="center" wrapText="1"/>
    </xf>
    <xf numFmtId="4" fontId="15" fillId="10" borderId="13" xfId="0" applyNumberFormat="1" applyFont="1" applyFill="1" applyBorder="1" applyAlignment="1" applyProtection="1">
      <alignment horizontal="center" vertical="center"/>
      <protection locked="0"/>
    </xf>
    <xf numFmtId="4" fontId="13" fillId="10" borderId="13" xfId="0" applyNumberFormat="1" applyFont="1" applyFill="1" applyBorder="1" applyAlignment="1" applyProtection="1">
      <alignment horizontal="center" vertical="center" wrapText="1"/>
      <protection locked="0"/>
    </xf>
    <xf numFmtId="0" fontId="10" fillId="4" borderId="0" xfId="0" applyFont="1" applyFill="1" applyAlignment="1" applyProtection="1">
      <alignment horizontal="center" vertical="center"/>
    </xf>
    <xf numFmtId="0" fontId="10" fillId="4" borderId="0" xfId="0" applyFont="1" applyFill="1" applyProtection="1"/>
    <xf numFmtId="4" fontId="13" fillId="0" borderId="3" xfId="0" applyNumberFormat="1" applyFont="1" applyFill="1" applyBorder="1" applyAlignment="1" applyProtection="1">
      <alignment horizontal="center" vertical="center" wrapText="1"/>
    </xf>
    <xf numFmtId="4" fontId="18" fillId="0" borderId="3" xfId="0" applyNumberFormat="1" applyFont="1" applyFill="1" applyBorder="1" applyAlignment="1" applyProtection="1">
      <alignment horizontal="center" vertical="center" wrapText="1"/>
    </xf>
    <xf numFmtId="4" fontId="13" fillId="0" borderId="2" xfId="0" applyNumberFormat="1" applyFont="1" applyFill="1" applyBorder="1" applyAlignment="1" applyProtection="1">
      <alignment horizontal="center" vertical="center" wrapText="1"/>
    </xf>
    <xf numFmtId="4" fontId="30" fillId="4" borderId="2" xfId="5" applyNumberFormat="1" applyFont="1" applyFill="1" applyBorder="1" applyAlignment="1" applyProtection="1">
      <alignment horizontal="center" vertical="center" wrapText="1"/>
      <protection locked="0"/>
    </xf>
    <xf numFmtId="4" fontId="18" fillId="0" borderId="2" xfId="0" applyNumberFormat="1" applyFont="1" applyFill="1" applyBorder="1" applyAlignment="1" applyProtection="1">
      <alignment horizontal="center" vertical="center" wrapText="1"/>
    </xf>
    <xf numFmtId="4" fontId="22" fillId="0" borderId="2" xfId="4" applyNumberFormat="1" applyFont="1" applyFill="1" applyBorder="1" applyAlignment="1" applyProtection="1">
      <alignment horizontal="center" vertical="center" wrapText="1"/>
      <protection locked="0"/>
    </xf>
    <xf numFmtId="49" fontId="8" fillId="4" borderId="0" xfId="0" applyNumberFormat="1" applyFont="1" applyFill="1" applyProtection="1"/>
    <xf numFmtId="49" fontId="10" fillId="6" borderId="13" xfId="0" applyNumberFormat="1" applyFont="1" applyFill="1" applyBorder="1" applyAlignment="1" applyProtection="1">
      <alignment horizontal="center" vertical="center" wrapText="1"/>
    </xf>
    <xf numFmtId="49" fontId="10" fillId="9" borderId="13" xfId="0" applyNumberFormat="1" applyFont="1" applyFill="1" applyBorder="1" applyAlignment="1" applyProtection="1">
      <alignment horizontal="center" vertical="center" wrapText="1"/>
    </xf>
    <xf numFmtId="49" fontId="10" fillId="3" borderId="8" xfId="0" applyNumberFormat="1" applyFont="1" applyFill="1" applyBorder="1" applyAlignment="1" applyProtection="1">
      <alignment horizontal="left" vertical="center" wrapText="1"/>
    </xf>
    <xf numFmtId="0" fontId="36" fillId="8" borderId="16" xfId="6" applyFont="1" applyFill="1" applyBorder="1" applyAlignment="1" applyProtection="1">
      <alignment horizontal="center" vertical="center"/>
    </xf>
    <xf numFmtId="4" fontId="12" fillId="0" borderId="17" xfId="0" applyNumberFormat="1" applyFont="1" applyBorder="1" applyAlignment="1" applyProtection="1">
      <alignment horizontal="center" vertical="center"/>
    </xf>
    <xf numFmtId="4" fontId="10" fillId="0" borderId="17" xfId="0" applyNumberFormat="1" applyFont="1" applyBorder="1" applyAlignment="1" applyProtection="1">
      <alignment horizontal="center" vertical="center"/>
    </xf>
    <xf numFmtId="0" fontId="12" fillId="7" borderId="17" xfId="2" applyFont="1" applyFill="1" applyBorder="1" applyAlignment="1" applyProtection="1">
      <alignment horizontal="center" vertical="center"/>
    </xf>
    <xf numFmtId="0" fontId="13" fillId="0" borderId="17" xfId="2" applyFont="1" applyFill="1" applyBorder="1" applyAlignment="1" applyProtection="1">
      <alignment horizontal="center" vertical="center"/>
    </xf>
    <xf numFmtId="4" fontId="15" fillId="0" borderId="17" xfId="0" applyNumberFormat="1" applyFont="1" applyFill="1" applyBorder="1" applyAlignment="1" applyProtection="1">
      <alignment horizontal="center" vertical="center"/>
    </xf>
    <xf numFmtId="0" fontId="12" fillId="0" borderId="17" xfId="2" applyFont="1" applyFill="1" applyBorder="1" applyAlignment="1" applyProtection="1">
      <alignment horizontal="center" vertical="center"/>
    </xf>
    <xf numFmtId="43" fontId="10" fillId="3" borderId="17" xfId="1" applyFont="1" applyFill="1" applyBorder="1" applyAlignment="1" applyProtection="1">
      <alignment horizontal="center" vertical="center" wrapText="1"/>
    </xf>
    <xf numFmtId="49" fontId="16" fillId="8" borderId="2" xfId="3" applyNumberFormat="1" applyFont="1" applyFill="1" applyBorder="1" applyAlignment="1" applyProtection="1">
      <alignment horizontal="center" vertical="center"/>
    </xf>
    <xf numFmtId="49" fontId="18" fillId="0" borderId="2" xfId="3" applyNumberFormat="1" applyFont="1" applyFill="1" applyBorder="1" applyAlignment="1" applyProtection="1">
      <alignment horizontal="center" vertical="center"/>
    </xf>
    <xf numFmtId="49" fontId="10" fillId="6" borderId="2" xfId="0" applyNumberFormat="1" applyFont="1" applyFill="1" applyBorder="1" applyAlignment="1" applyProtection="1">
      <alignment horizontal="center" vertical="center" wrapText="1"/>
    </xf>
    <xf numFmtId="49" fontId="16" fillId="7" borderId="2" xfId="3" applyNumberFormat="1" applyFont="1" applyFill="1" applyBorder="1" applyAlignment="1" applyProtection="1">
      <alignment horizontal="center" vertical="center"/>
    </xf>
    <xf numFmtId="49" fontId="18" fillId="0" borderId="2" xfId="0" applyNumberFormat="1" applyFont="1" applyFill="1" applyBorder="1" applyAlignment="1" applyProtection="1">
      <alignment horizontal="center" vertical="center"/>
    </xf>
    <xf numFmtId="49" fontId="10" fillId="3" borderId="2" xfId="1" applyNumberFormat="1" applyFont="1" applyFill="1" applyBorder="1" applyAlignment="1" applyProtection="1">
      <alignment horizontal="center" vertical="center" wrapText="1"/>
    </xf>
    <xf numFmtId="4" fontId="15" fillId="0" borderId="4" xfId="0" applyNumberFormat="1" applyFont="1" applyFill="1" applyBorder="1" applyAlignment="1" applyProtection="1">
      <alignment horizontal="center" vertical="center"/>
      <protection locked="0"/>
    </xf>
    <xf numFmtId="4" fontId="12" fillId="0" borderId="17" xfId="0" applyNumberFormat="1" applyFont="1" applyFill="1" applyBorder="1" applyAlignment="1" applyProtection="1">
      <alignment horizontal="center" vertical="center"/>
    </xf>
    <xf numFmtId="4" fontId="10" fillId="0" borderId="17" xfId="0" applyNumberFormat="1" applyFont="1" applyFill="1" applyBorder="1" applyAlignment="1" applyProtection="1">
      <alignment horizontal="center" vertical="center"/>
    </xf>
    <xf numFmtId="0" fontId="12" fillId="8" borderId="2" xfId="3" applyFont="1" applyFill="1" applyBorder="1" applyAlignment="1" applyProtection="1">
      <alignment horizontal="center" vertical="center" wrapText="1"/>
    </xf>
    <xf numFmtId="3" fontId="12" fillId="8" borderId="2" xfId="3" applyNumberFormat="1" applyFont="1" applyFill="1" applyBorder="1" applyAlignment="1" applyProtection="1">
      <alignment horizontal="center" vertical="center"/>
    </xf>
    <xf numFmtId="0" fontId="15" fillId="4" borderId="0" xfId="0" applyFont="1" applyFill="1" applyProtection="1"/>
    <xf numFmtId="4" fontId="15" fillId="0" borderId="23" xfId="0" applyNumberFormat="1" applyFont="1" applyFill="1" applyBorder="1" applyAlignment="1" applyProtection="1">
      <alignment horizontal="center" vertical="center" wrapText="1"/>
    </xf>
    <xf numFmtId="4" fontId="18" fillId="0" borderId="23" xfId="0" applyNumberFormat="1" applyFont="1" applyFill="1" applyBorder="1" applyAlignment="1" applyProtection="1">
      <alignment horizontal="center" vertical="center" wrapText="1"/>
      <protection locked="0"/>
    </xf>
    <xf numFmtId="0" fontId="12" fillId="0" borderId="24" xfId="2" applyFont="1" applyFill="1" applyBorder="1" applyAlignment="1" applyProtection="1">
      <alignment horizontal="center" vertical="center"/>
    </xf>
    <xf numFmtId="3" fontId="13" fillId="0" borderId="23" xfId="3" applyNumberFormat="1" applyFont="1" applyFill="1" applyBorder="1" applyAlignment="1" applyProtection="1">
      <alignment horizontal="center" vertical="center"/>
    </xf>
    <xf numFmtId="4" fontId="12" fillId="0" borderId="25" xfId="2" applyNumberFormat="1" applyFont="1" applyFill="1" applyBorder="1" applyAlignment="1" applyProtection="1">
      <alignment horizontal="center" vertical="center" wrapText="1"/>
    </xf>
    <xf numFmtId="49" fontId="18" fillId="0" borderId="22" xfId="3" applyNumberFormat="1" applyFont="1" applyFill="1" applyBorder="1" applyAlignment="1" applyProtection="1">
      <alignment horizontal="center" vertical="center"/>
    </xf>
    <xf numFmtId="49" fontId="18" fillId="0" borderId="23" xfId="3" applyNumberFormat="1" applyFont="1" applyFill="1" applyBorder="1" applyAlignment="1" applyProtection="1">
      <alignment horizontal="center" vertical="center"/>
    </xf>
    <xf numFmtId="4" fontId="13" fillId="0" borderId="25" xfId="2" applyNumberFormat="1" applyFont="1" applyFill="1" applyBorder="1" applyAlignment="1" applyProtection="1">
      <alignment horizontal="center" vertical="center" wrapText="1"/>
    </xf>
    <xf numFmtId="4" fontId="13" fillId="0" borderId="23" xfId="2" applyNumberFormat="1" applyFont="1" applyFill="1" applyBorder="1" applyAlignment="1" applyProtection="1">
      <alignment horizontal="center" vertical="center" wrapText="1"/>
    </xf>
    <xf numFmtId="4" fontId="10" fillId="0" borderId="4" xfId="0" applyNumberFormat="1" applyFont="1" applyFill="1" applyBorder="1" applyAlignment="1" applyProtection="1">
      <alignment horizontal="center" vertical="center"/>
      <protection locked="0"/>
    </xf>
    <xf numFmtId="4" fontId="16" fillId="0" borderId="2" xfId="0" applyNumberFormat="1" applyFont="1" applyFill="1" applyBorder="1" applyAlignment="1" applyProtection="1">
      <alignment horizontal="center" vertical="center" wrapText="1"/>
      <protection locked="0"/>
    </xf>
    <xf numFmtId="4" fontId="16" fillId="0" borderId="2" xfId="0" applyNumberFormat="1" applyFont="1" applyFill="1" applyBorder="1" applyAlignment="1" applyProtection="1">
      <alignment horizontal="center" vertical="center" wrapText="1"/>
    </xf>
    <xf numFmtId="49" fontId="3" fillId="0" borderId="0" xfId="0" applyNumberFormat="1" applyFont="1" applyAlignment="1" applyProtection="1">
      <alignment horizontal="center" vertical="center"/>
    </xf>
    <xf numFmtId="4" fontId="3" fillId="0" borderId="0" xfId="0" applyNumberFormat="1" applyFont="1" applyAlignment="1" applyProtection="1">
      <alignment horizontal="right" vertical="center" wrapText="1"/>
    </xf>
    <xf numFmtId="4" fontId="3" fillId="0" borderId="0" xfId="0" applyNumberFormat="1" applyFont="1" applyAlignment="1" applyProtection="1">
      <alignment horizontal="center" vertical="center" wrapText="1"/>
    </xf>
    <xf numFmtId="4" fontId="3" fillId="0" borderId="0" xfId="0" applyNumberFormat="1" applyFont="1" applyAlignment="1" applyProtection="1">
      <alignment horizontal="right" vertical="center"/>
    </xf>
    <xf numFmtId="0" fontId="3" fillId="0" borderId="0" xfId="0" applyFont="1" applyProtection="1"/>
    <xf numFmtId="49" fontId="15" fillId="0" borderId="0" xfId="0" applyNumberFormat="1" applyFont="1" applyAlignment="1" applyProtection="1">
      <alignment horizontal="center" vertical="center"/>
    </xf>
    <xf numFmtId="4" fontId="15" fillId="0" borderId="0" xfId="0" applyNumberFormat="1" applyFont="1" applyAlignment="1" applyProtection="1">
      <alignment horizontal="right" vertical="center" wrapText="1"/>
    </xf>
    <xf numFmtId="4" fontId="15" fillId="0" borderId="0" xfId="0" applyNumberFormat="1" applyFont="1" applyAlignment="1" applyProtection="1">
      <alignment horizontal="center" vertical="center" wrapText="1"/>
    </xf>
    <xf numFmtId="4" fontId="15" fillId="0" borderId="0" xfId="0" applyNumberFormat="1" applyFont="1" applyAlignment="1" applyProtection="1">
      <alignment horizontal="right" vertical="center"/>
    </xf>
    <xf numFmtId="0" fontId="15" fillId="7" borderId="0" xfId="0" applyFont="1" applyFill="1" applyProtection="1"/>
    <xf numFmtId="0" fontId="15" fillId="5" borderId="0" xfId="0" applyFont="1" applyFill="1" applyProtection="1"/>
    <xf numFmtId="0" fontId="15" fillId="8" borderId="0" xfId="0" applyFont="1" applyFill="1" applyProtection="1">
      <protection locked="0"/>
    </xf>
    <xf numFmtId="0" fontId="15" fillId="8" borderId="0" xfId="0" applyFont="1" applyFill="1" applyProtection="1"/>
    <xf numFmtId="0" fontId="15" fillId="0" borderId="0" xfId="0" applyFont="1" applyFill="1" applyProtection="1">
      <protection locked="0"/>
    </xf>
    <xf numFmtId="0" fontId="30" fillId="0" borderId="2" xfId="0" applyFont="1" applyFill="1" applyBorder="1" applyProtection="1">
      <protection locked="0"/>
    </xf>
    <xf numFmtId="0" fontId="13" fillId="0" borderId="0" xfId="0" applyFont="1" applyProtection="1">
      <protection locked="0"/>
    </xf>
    <xf numFmtId="0" fontId="13" fillId="0" borderId="0" xfId="0" applyFont="1" applyProtection="1"/>
    <xf numFmtId="0" fontId="15" fillId="0" borderId="0" xfId="0" applyFont="1" applyProtection="1">
      <protection locked="0"/>
    </xf>
    <xf numFmtId="0" fontId="31" fillId="0" borderId="2" xfId="0" applyFont="1" applyFill="1" applyBorder="1" applyProtection="1">
      <protection locked="0"/>
    </xf>
    <xf numFmtId="0" fontId="31" fillId="8" borderId="2" xfId="0" applyFont="1" applyFill="1" applyBorder="1" applyProtection="1">
      <protection locked="0"/>
    </xf>
    <xf numFmtId="0" fontId="31" fillId="0" borderId="2" xfId="0" applyFont="1" applyBorder="1" applyProtection="1">
      <protection locked="0"/>
    </xf>
    <xf numFmtId="0" fontId="30" fillId="0" borderId="2" xfId="0" applyFont="1" applyBorder="1" applyProtection="1">
      <protection locked="0"/>
    </xf>
    <xf numFmtId="0" fontId="31" fillId="7" borderId="2" xfId="0" applyFont="1" applyFill="1" applyBorder="1" applyProtection="1">
      <protection locked="0"/>
    </xf>
    <xf numFmtId="0" fontId="15" fillId="7" borderId="0" xfId="0" applyFont="1" applyFill="1" applyProtection="1">
      <protection locked="0"/>
    </xf>
    <xf numFmtId="0" fontId="29" fillId="8" borderId="2" xfId="0" applyFont="1" applyFill="1" applyBorder="1" applyProtection="1">
      <protection locked="0"/>
    </xf>
    <xf numFmtId="0" fontId="10" fillId="8" borderId="0" xfId="0" applyFont="1" applyFill="1" applyProtection="1">
      <protection locked="0"/>
    </xf>
    <xf numFmtId="0" fontId="10" fillId="8" borderId="0" xfId="0" applyFont="1" applyFill="1" applyProtection="1"/>
    <xf numFmtId="0" fontId="31" fillId="0" borderId="23" xfId="0" applyFont="1" applyFill="1" applyBorder="1" applyProtection="1">
      <protection locked="0"/>
    </xf>
    <xf numFmtId="0" fontId="15" fillId="0" borderId="23" xfId="0" applyFont="1" applyFill="1" applyBorder="1" applyAlignment="1">
      <alignment horizontal="center" vertical="center"/>
    </xf>
    <xf numFmtId="0" fontId="13" fillId="0" borderId="0" xfId="0" applyFont="1" applyFill="1" applyProtection="1">
      <protection locked="0"/>
    </xf>
    <xf numFmtId="0" fontId="13" fillId="0" borderId="0" xfId="0" applyFont="1" applyFill="1" applyProtection="1"/>
    <xf numFmtId="0" fontId="31" fillId="0" borderId="0" xfId="0" applyFont="1" applyProtection="1">
      <protection locked="0"/>
    </xf>
    <xf numFmtId="0" fontId="10" fillId="4" borderId="0" xfId="0" applyFont="1" applyFill="1" applyProtection="1">
      <protection locked="0"/>
    </xf>
    <xf numFmtId="0" fontId="29" fillId="4" borderId="0" xfId="0" applyFont="1" applyFill="1" applyProtection="1">
      <protection locked="0"/>
    </xf>
    <xf numFmtId="4" fontId="15" fillId="6" borderId="3" xfId="0" applyNumberFormat="1" applyFont="1" applyFill="1" applyBorder="1" applyAlignment="1" applyProtection="1">
      <alignment horizontal="center" vertical="center" wrapText="1"/>
    </xf>
    <xf numFmtId="4" fontId="15" fillId="9" borderId="3" xfId="0" applyNumberFormat="1" applyFont="1" applyFill="1" applyBorder="1" applyAlignment="1" applyProtection="1">
      <alignment horizontal="center" vertical="center" wrapText="1"/>
    </xf>
    <xf numFmtId="4" fontId="13" fillId="7" borderId="3" xfId="2" applyNumberFormat="1" applyFont="1" applyFill="1" applyBorder="1" applyAlignment="1" applyProtection="1">
      <alignment horizontal="center" vertical="center" wrapText="1"/>
    </xf>
    <xf numFmtId="4" fontId="15" fillId="3" borderId="3" xfId="1" applyNumberFormat="1" applyFont="1" applyFill="1" applyBorder="1" applyAlignment="1" applyProtection="1">
      <alignment horizontal="center" vertical="center" wrapText="1"/>
    </xf>
    <xf numFmtId="4" fontId="15" fillId="3" borderId="7" xfId="1" applyNumberFormat="1" applyFont="1" applyFill="1" applyBorder="1" applyAlignment="1" applyProtection="1">
      <alignment horizontal="center" vertical="center" wrapText="1"/>
    </xf>
    <xf numFmtId="49" fontId="18" fillId="5" borderId="27" xfId="3" applyNumberFormat="1" applyFont="1" applyFill="1" applyBorder="1" applyAlignment="1" applyProtection="1">
      <alignment horizontal="center" vertical="center"/>
    </xf>
    <xf numFmtId="0" fontId="12" fillId="5" borderId="28" xfId="2" applyFont="1" applyFill="1" applyBorder="1" applyAlignment="1" applyProtection="1">
      <alignment horizontal="center" vertical="center"/>
    </xf>
    <xf numFmtId="0" fontId="13" fillId="5" borderId="27" xfId="3" applyFont="1" applyFill="1" applyBorder="1" applyAlignment="1" applyProtection="1">
      <alignment horizontal="center" vertical="center" wrapText="1"/>
    </xf>
    <xf numFmtId="3" fontId="13" fillId="5" borderId="27" xfId="3" applyNumberFormat="1" applyFont="1" applyFill="1" applyBorder="1" applyAlignment="1" applyProtection="1">
      <alignment horizontal="center" vertical="center"/>
    </xf>
    <xf numFmtId="4" fontId="13" fillId="5" borderId="30" xfId="2" applyNumberFormat="1" applyFont="1" applyFill="1" applyBorder="1" applyAlignment="1" applyProtection="1">
      <alignment horizontal="center" vertical="center" wrapText="1"/>
    </xf>
    <xf numFmtId="4" fontId="18" fillId="5" borderId="27" xfId="0" applyNumberFormat="1" applyFont="1" applyFill="1" applyBorder="1" applyAlignment="1" applyProtection="1">
      <alignment horizontal="center" vertical="center" wrapText="1"/>
      <protection locked="0"/>
    </xf>
    <xf numFmtId="0" fontId="31" fillId="5" borderId="27" xfId="0" applyFont="1" applyFill="1" applyBorder="1" applyProtection="1">
      <protection locked="0"/>
    </xf>
    <xf numFmtId="0" fontId="15" fillId="5" borderId="0" xfId="0" applyFont="1" applyFill="1" applyProtection="1">
      <protection locked="0"/>
    </xf>
    <xf numFmtId="49" fontId="16" fillId="5" borderId="26" xfId="3" applyNumberFormat="1" applyFont="1" applyFill="1" applyBorder="1" applyAlignment="1" applyProtection="1">
      <alignment horizontal="center" vertical="center"/>
    </xf>
    <xf numFmtId="49" fontId="16" fillId="5" borderId="27" xfId="3" applyNumberFormat="1" applyFont="1" applyFill="1" applyBorder="1" applyAlignment="1" applyProtection="1">
      <alignment horizontal="center" vertical="center"/>
    </xf>
    <xf numFmtId="0" fontId="12" fillId="5" borderId="27" xfId="3" applyFont="1" applyFill="1" applyBorder="1" applyAlignment="1" applyProtection="1">
      <alignment horizontal="center" vertical="center" wrapText="1"/>
    </xf>
    <xf numFmtId="3" fontId="12" fillId="5" borderId="27" xfId="3" applyNumberFormat="1" applyFont="1" applyFill="1" applyBorder="1" applyAlignment="1" applyProtection="1">
      <alignment horizontal="center" vertical="center"/>
    </xf>
    <xf numFmtId="4" fontId="16" fillId="5" borderId="27" xfId="0" applyNumberFormat="1" applyFont="1" applyFill="1" applyBorder="1" applyAlignment="1" applyProtection="1">
      <alignment horizontal="center" vertical="center" wrapText="1"/>
      <protection locked="0"/>
    </xf>
    <xf numFmtId="0" fontId="29" fillId="5" borderId="27" xfId="0" applyFont="1" applyFill="1" applyBorder="1" applyProtection="1">
      <protection locked="0"/>
    </xf>
    <xf numFmtId="0" fontId="10" fillId="5" borderId="0" xfId="0" applyFont="1" applyFill="1" applyProtection="1">
      <protection locked="0"/>
    </xf>
    <xf numFmtId="0" fontId="10" fillId="5" borderId="0" xfId="0" applyFont="1" applyFill="1" applyProtection="1"/>
    <xf numFmtId="0" fontId="10" fillId="5" borderId="29" xfId="0" applyFont="1" applyFill="1" applyBorder="1" applyAlignment="1">
      <alignment horizontal="left" vertical="center"/>
    </xf>
    <xf numFmtId="4" fontId="12" fillId="5" borderId="27" xfId="2" applyNumberFormat="1" applyFont="1" applyFill="1" applyBorder="1" applyAlignment="1" applyProtection="1">
      <alignment horizontal="center" vertical="center" wrapText="1"/>
    </xf>
    <xf numFmtId="4" fontId="13" fillId="5" borderId="27" xfId="2" applyNumberFormat="1" applyFont="1" applyFill="1" applyBorder="1" applyAlignment="1" applyProtection="1">
      <alignment horizontal="center" vertical="center" wrapText="1"/>
    </xf>
    <xf numFmtId="0" fontId="12" fillId="5" borderId="27" xfId="0" applyFont="1" applyFill="1" applyBorder="1" applyAlignment="1">
      <alignment horizontal="left" vertical="center" wrapText="1"/>
    </xf>
    <xf numFmtId="4" fontId="16" fillId="5" borderId="2" xfId="3" applyNumberFormat="1" applyFont="1" applyFill="1" applyBorder="1" applyAlignment="1" applyProtection="1">
      <alignment horizontal="center" vertical="center"/>
    </xf>
    <xf numFmtId="4" fontId="18" fillId="5" borderId="2" xfId="0" applyNumberFormat="1" applyFont="1" applyFill="1" applyBorder="1" applyAlignment="1" applyProtection="1">
      <alignment horizontal="center" vertical="center" wrapText="1"/>
    </xf>
    <xf numFmtId="4" fontId="12" fillId="5" borderId="2" xfId="3" applyNumberFormat="1" applyFont="1" applyFill="1" applyBorder="1" applyAlignment="1" applyProtection="1">
      <alignment horizontal="center" vertical="center" wrapText="1"/>
    </xf>
    <xf numFmtId="4" fontId="16" fillId="5" borderId="3" xfId="3" applyNumberFormat="1" applyFont="1" applyFill="1" applyBorder="1" applyAlignment="1" applyProtection="1">
      <alignment horizontal="center" vertical="center"/>
    </xf>
    <xf numFmtId="0" fontId="23" fillId="11" borderId="0" xfId="0" applyFont="1" applyFill="1" applyAlignment="1" applyProtection="1">
      <alignment vertical="center"/>
    </xf>
    <xf numFmtId="0" fontId="23" fillId="11" borderId="0" xfId="0" applyFont="1" applyFill="1" applyAlignment="1" applyProtection="1">
      <alignment horizontal="center" vertical="center"/>
    </xf>
    <xf numFmtId="4" fontId="23" fillId="11" borderId="0" xfId="0" applyNumberFormat="1" applyFont="1" applyFill="1" applyAlignment="1" applyProtection="1">
      <alignment horizontal="center" vertical="center"/>
    </xf>
    <xf numFmtId="4" fontId="24" fillId="11" borderId="0" xfId="0" applyNumberFormat="1" applyFont="1" applyFill="1" applyAlignment="1" applyProtection="1">
      <alignment horizontal="center" vertical="center"/>
    </xf>
    <xf numFmtId="4" fontId="33" fillId="11" borderId="0" xfId="0" applyNumberFormat="1" applyFont="1" applyFill="1" applyAlignment="1" applyProtection="1">
      <alignment horizontal="center" vertical="center"/>
    </xf>
    <xf numFmtId="4" fontId="27" fillId="11" borderId="0" xfId="0" applyNumberFormat="1" applyFont="1" applyFill="1" applyAlignment="1" applyProtection="1">
      <alignment horizontal="center" vertical="center"/>
    </xf>
    <xf numFmtId="0" fontId="27" fillId="11" borderId="0" xfId="0" applyFont="1" applyFill="1" applyAlignment="1" applyProtection="1">
      <alignment vertical="center"/>
    </xf>
    <xf numFmtId="0" fontId="34" fillId="11" borderId="0" xfId="0" applyFont="1" applyFill="1" applyAlignment="1" applyProtection="1">
      <alignment vertical="center"/>
      <protection locked="0"/>
    </xf>
    <xf numFmtId="0" fontId="27" fillId="11" borderId="0" xfId="0" applyFont="1" applyFill="1" applyAlignment="1" applyProtection="1">
      <alignment vertical="center"/>
      <protection locked="0"/>
    </xf>
    <xf numFmtId="0" fontId="24" fillId="11" borderId="0" xfId="0" applyFont="1" applyFill="1" applyAlignment="1" applyProtection="1">
      <alignment vertical="center"/>
    </xf>
    <xf numFmtId="0" fontId="9" fillId="11" borderId="0" xfId="0" applyFont="1" applyFill="1" applyAlignment="1" applyProtection="1">
      <alignment horizontal="center" vertical="center"/>
    </xf>
    <xf numFmtId="0" fontId="9" fillId="11" borderId="0" xfId="0" applyFont="1" applyFill="1" applyAlignment="1" applyProtection="1">
      <alignment vertical="center"/>
    </xf>
    <xf numFmtId="4" fontId="9" fillId="11" borderId="0" xfId="0" applyNumberFormat="1" applyFont="1" applyFill="1" applyAlignment="1" applyProtection="1">
      <alignment horizontal="center" vertical="center"/>
    </xf>
    <xf numFmtId="0" fontId="32" fillId="11" borderId="0" xfId="0" applyFont="1" applyFill="1" applyAlignment="1" applyProtection="1">
      <alignment vertical="center"/>
      <protection locked="0"/>
    </xf>
    <xf numFmtId="0" fontId="9" fillId="11" borderId="0" xfId="0" applyFont="1" applyFill="1" applyAlignment="1" applyProtection="1">
      <alignment vertical="center"/>
      <protection locked="0"/>
    </xf>
    <xf numFmtId="0" fontId="24" fillId="11" borderId="0" xfId="0" applyFont="1" applyFill="1" applyAlignment="1" applyProtection="1">
      <alignment horizontal="center" vertical="center"/>
    </xf>
    <xf numFmtId="4" fontId="25" fillId="11" borderId="0" xfId="0" applyNumberFormat="1" applyFont="1" applyFill="1" applyAlignment="1" applyProtection="1">
      <alignment horizontal="center" vertical="center"/>
    </xf>
    <xf numFmtId="49" fontId="24" fillId="11" borderId="0" xfId="0" applyNumberFormat="1" applyFont="1" applyFill="1" applyAlignment="1" applyProtection="1">
      <alignment vertical="center"/>
    </xf>
    <xf numFmtId="49" fontId="24" fillId="11" borderId="0" xfId="0" applyNumberFormat="1" applyFont="1" applyFill="1" applyAlignment="1" applyProtection="1">
      <alignment horizontal="center" vertical="center"/>
    </xf>
    <xf numFmtId="49" fontId="24" fillId="11" borderId="0" xfId="0" applyNumberFormat="1" applyFont="1" applyFill="1" applyAlignment="1" applyProtection="1">
      <alignment vertical="center" wrapText="1"/>
    </xf>
    <xf numFmtId="0" fontId="32" fillId="11" borderId="0" xfId="0" applyFont="1" applyFill="1" applyAlignment="1" applyProtection="1">
      <alignment horizontal="center" vertical="center"/>
      <protection locked="0"/>
    </xf>
    <xf numFmtId="0" fontId="9" fillId="11" borderId="0" xfId="0" applyFont="1" applyFill="1" applyAlignment="1" applyProtection="1">
      <alignment horizontal="center" vertical="center"/>
      <protection locked="0"/>
    </xf>
    <xf numFmtId="49" fontId="18" fillId="0" borderId="31" xfId="3" applyNumberFormat="1" applyFont="1" applyFill="1" applyBorder="1" applyAlignment="1" applyProtection="1">
      <alignment horizontal="center" vertical="center"/>
    </xf>
    <xf numFmtId="49" fontId="18" fillId="0" borderId="32" xfId="3" applyNumberFormat="1" applyFont="1" applyFill="1" applyBorder="1" applyAlignment="1" applyProtection="1">
      <alignment horizontal="center" vertical="center"/>
    </xf>
    <xf numFmtId="4" fontId="13" fillId="0" borderId="32" xfId="2" applyNumberFormat="1" applyFont="1" applyFill="1" applyBorder="1" applyAlignment="1" applyProtection="1">
      <alignment horizontal="center" vertical="center" wrapText="1"/>
    </xf>
    <xf numFmtId="4" fontId="12" fillId="0" borderId="35" xfId="2" applyNumberFormat="1" applyFont="1" applyFill="1" applyBorder="1" applyAlignment="1" applyProtection="1">
      <alignment horizontal="center" vertical="center" wrapText="1"/>
    </xf>
    <xf numFmtId="4" fontId="18" fillId="0" borderId="32" xfId="0" applyNumberFormat="1" applyFont="1" applyFill="1" applyBorder="1" applyAlignment="1" applyProtection="1">
      <alignment horizontal="center" vertical="center" wrapText="1"/>
      <protection locked="0"/>
    </xf>
    <xf numFmtId="0" fontId="31" fillId="0" borderId="32" xfId="0" applyFont="1" applyFill="1" applyBorder="1" applyProtection="1">
      <protection locked="0"/>
    </xf>
    <xf numFmtId="49" fontId="18" fillId="5" borderId="32" xfId="3" applyNumberFormat="1" applyFont="1" applyFill="1" applyBorder="1" applyAlignment="1" applyProtection="1">
      <alignment horizontal="center" vertical="center"/>
    </xf>
    <xf numFmtId="0" fontId="12" fillId="5" borderId="33" xfId="2" applyFont="1" applyFill="1" applyBorder="1" applyAlignment="1" applyProtection="1">
      <alignment horizontal="center" vertical="center"/>
    </xf>
    <xf numFmtId="3" fontId="13" fillId="5" borderId="32" xfId="3" applyNumberFormat="1" applyFont="1" applyFill="1" applyBorder="1" applyAlignment="1" applyProtection="1">
      <alignment horizontal="center" vertical="center"/>
    </xf>
    <xf numFmtId="4" fontId="13" fillId="5" borderId="35" xfId="2" applyNumberFormat="1" applyFont="1" applyFill="1" applyBorder="1" applyAlignment="1" applyProtection="1">
      <alignment horizontal="center" vertical="center" wrapText="1"/>
    </xf>
    <xf numFmtId="4" fontId="13" fillId="5" borderId="32" xfId="2" applyNumberFormat="1" applyFont="1" applyFill="1" applyBorder="1" applyAlignment="1" applyProtection="1">
      <alignment horizontal="center" vertical="center" wrapText="1"/>
    </xf>
    <xf numFmtId="4" fontId="12" fillId="5" borderId="35" xfId="2" applyNumberFormat="1" applyFont="1" applyFill="1" applyBorder="1" applyAlignment="1" applyProtection="1">
      <alignment horizontal="center" vertical="center" wrapText="1"/>
    </xf>
    <xf numFmtId="4" fontId="15" fillId="5" borderId="33" xfId="0" applyNumberFormat="1" applyFont="1" applyFill="1" applyBorder="1" applyAlignment="1" applyProtection="1">
      <alignment horizontal="center" vertical="center"/>
      <protection locked="0"/>
    </xf>
    <xf numFmtId="4" fontId="18" fillId="5" borderId="32" xfId="0" applyNumberFormat="1" applyFont="1" applyFill="1" applyBorder="1" applyAlignment="1" applyProtection="1">
      <alignment horizontal="center" vertical="center" wrapText="1"/>
      <protection locked="0"/>
    </xf>
    <xf numFmtId="0" fontId="31" fillId="5" borderId="32" xfId="0" applyFont="1" applyFill="1" applyBorder="1" applyProtection="1">
      <protection locked="0"/>
    </xf>
    <xf numFmtId="0" fontId="10" fillId="5" borderId="34" xfId="0" applyFont="1" applyFill="1" applyBorder="1" applyAlignment="1">
      <alignment horizontal="left" vertical="top"/>
    </xf>
    <xf numFmtId="49" fontId="16" fillId="5" borderId="31" xfId="3" applyNumberFormat="1" applyFont="1" applyFill="1" applyBorder="1" applyAlignment="1" applyProtection="1">
      <alignment horizontal="center" vertical="center"/>
    </xf>
    <xf numFmtId="49" fontId="18" fillId="8" borderId="31" xfId="3" applyNumberFormat="1" applyFont="1" applyFill="1" applyBorder="1" applyAlignment="1" applyProtection="1">
      <alignment horizontal="center" vertical="center"/>
    </xf>
    <xf numFmtId="49" fontId="18" fillId="8" borderId="32" xfId="3" applyNumberFormat="1" applyFont="1" applyFill="1" applyBorder="1" applyAlignment="1" applyProtection="1">
      <alignment horizontal="center" vertical="center"/>
    </xf>
    <xf numFmtId="0" fontId="12" fillId="8" borderId="32" xfId="2" applyFont="1" applyFill="1" applyBorder="1" applyAlignment="1" applyProtection="1">
      <alignment horizontal="left" vertical="center" wrapText="1"/>
      <protection locked="0"/>
    </xf>
    <xf numFmtId="0" fontId="22" fillId="8" borderId="32" xfId="2" applyFont="1" applyFill="1" applyBorder="1" applyAlignment="1" applyProtection="1">
      <alignment horizontal="center" vertical="center" wrapText="1"/>
      <protection locked="0"/>
    </xf>
    <xf numFmtId="4" fontId="13" fillId="8" borderId="32" xfId="2" applyNumberFormat="1" applyFont="1" applyFill="1" applyBorder="1" applyAlignment="1" applyProtection="1">
      <alignment horizontal="center" vertical="center" wrapText="1"/>
    </xf>
    <xf numFmtId="4" fontId="12" fillId="8" borderId="35" xfId="2" applyNumberFormat="1" applyFont="1" applyFill="1" applyBorder="1" applyAlignment="1" applyProtection="1">
      <alignment horizontal="center" vertical="center" wrapText="1"/>
    </xf>
    <xf numFmtId="4" fontId="15" fillId="8" borderId="33" xfId="0" applyNumberFormat="1" applyFont="1" applyFill="1" applyBorder="1" applyAlignment="1" applyProtection="1">
      <alignment horizontal="center" vertical="center"/>
      <protection locked="0"/>
    </xf>
    <xf numFmtId="0" fontId="31" fillId="8" borderId="32" xfId="0" applyFont="1" applyFill="1" applyBorder="1" applyProtection="1">
      <protection locked="0"/>
    </xf>
    <xf numFmtId="0" fontId="12" fillId="0" borderId="33" xfId="2" applyFont="1" applyFill="1" applyBorder="1" applyAlignment="1" applyProtection="1">
      <alignment horizontal="center" vertical="center"/>
    </xf>
    <xf numFmtId="4" fontId="15" fillId="0" borderId="25" xfId="0" applyNumberFormat="1" applyFont="1" applyFill="1" applyBorder="1" applyAlignment="1" applyProtection="1">
      <alignment horizontal="center" vertical="center" wrapText="1"/>
    </xf>
    <xf numFmtId="164" fontId="15" fillId="0" borderId="3" xfId="0" applyNumberFormat="1" applyFont="1" applyFill="1" applyBorder="1" applyAlignment="1" applyProtection="1">
      <alignment horizontal="center" vertical="center" wrapText="1"/>
    </xf>
    <xf numFmtId="0" fontId="15" fillId="0" borderId="23" xfId="0" applyFont="1" applyFill="1" applyBorder="1" applyProtection="1"/>
    <xf numFmtId="49" fontId="13" fillId="0" borderId="2" xfId="0" applyNumberFormat="1" applyFont="1" applyFill="1" applyBorder="1" applyAlignment="1" applyProtection="1">
      <alignment horizontal="center" vertical="center" wrapText="1"/>
    </xf>
    <xf numFmtId="4" fontId="13" fillId="0" borderId="9" xfId="0" applyNumberFormat="1" applyFont="1" applyFill="1" applyBorder="1" applyAlignment="1" applyProtection="1">
      <alignment horizontal="center" vertical="center" wrapText="1"/>
    </xf>
    <xf numFmtId="4" fontId="12" fillId="0" borderId="19" xfId="0" applyNumberFormat="1" applyFont="1" applyFill="1" applyBorder="1" applyAlignment="1" applyProtection="1">
      <alignment horizontal="center" vertical="center"/>
    </xf>
    <xf numFmtId="4" fontId="13" fillId="0" borderId="18" xfId="0" applyNumberFormat="1" applyFont="1" applyFill="1" applyBorder="1" applyAlignment="1" applyProtection="1">
      <alignment horizontal="center" vertical="center"/>
    </xf>
    <xf numFmtId="49" fontId="13" fillId="0" borderId="20" xfId="0" applyNumberFormat="1" applyFont="1" applyFill="1" applyBorder="1" applyAlignment="1" applyProtection="1">
      <alignment horizontal="center" vertical="center" wrapText="1"/>
    </xf>
    <xf numFmtId="4" fontId="13" fillId="0" borderId="18" xfId="0" applyNumberFormat="1" applyFont="1" applyFill="1" applyBorder="1" applyAlignment="1" applyProtection="1">
      <alignment horizontal="center" vertical="center" wrapText="1"/>
    </xf>
    <xf numFmtId="4" fontId="13" fillId="0" borderId="21" xfId="0" applyNumberFormat="1" applyFont="1" applyFill="1" applyBorder="1" applyAlignment="1" applyProtection="1">
      <alignment horizontal="center" vertical="center" wrapText="1"/>
    </xf>
    <xf numFmtId="49" fontId="15" fillId="0" borderId="3" xfId="0" applyNumberFormat="1" applyFont="1" applyFill="1" applyBorder="1" applyAlignment="1" applyProtection="1">
      <alignment horizontal="center" vertical="center" wrapText="1"/>
    </xf>
    <xf numFmtId="4" fontId="18" fillId="0" borderId="9" xfId="0" applyNumberFormat="1" applyFont="1" applyFill="1" applyBorder="1" applyAlignment="1" applyProtection="1">
      <alignment horizontal="center" vertical="center" wrapText="1"/>
    </xf>
    <xf numFmtId="49" fontId="18" fillId="12" borderId="2" xfId="3" applyNumberFormat="1" applyFont="1" applyFill="1" applyBorder="1" applyAlignment="1" applyProtection="1">
      <alignment horizontal="center" vertical="center"/>
    </xf>
    <xf numFmtId="0" fontId="36" fillId="12" borderId="16" xfId="6" applyFont="1" applyFill="1" applyBorder="1" applyAlignment="1" applyProtection="1">
      <alignment horizontal="center" vertical="center"/>
    </xf>
    <xf numFmtId="0" fontId="13" fillId="12" borderId="2" xfId="3" applyFont="1" applyFill="1" applyBorder="1" applyAlignment="1" applyProtection="1">
      <alignment vertical="center" wrapText="1"/>
    </xf>
    <xf numFmtId="0" fontId="13" fillId="12" borderId="2" xfId="3" applyFont="1" applyFill="1" applyBorder="1" applyAlignment="1" applyProtection="1">
      <alignment horizontal="center" vertical="center" wrapText="1"/>
    </xf>
    <xf numFmtId="3" fontId="13" fillId="12" borderId="2" xfId="3" applyNumberFormat="1" applyFont="1" applyFill="1" applyBorder="1" applyAlignment="1" applyProtection="1">
      <alignment horizontal="center" vertical="center"/>
    </xf>
    <xf numFmtId="4" fontId="13" fillId="12" borderId="3" xfId="2" applyNumberFormat="1" applyFont="1" applyFill="1" applyBorder="1" applyAlignment="1" applyProtection="1">
      <alignment horizontal="center" vertical="center" wrapText="1"/>
    </xf>
    <xf numFmtId="4" fontId="12" fillId="12" borderId="2" xfId="2" applyNumberFormat="1" applyFont="1" applyFill="1" applyBorder="1" applyAlignment="1" applyProtection="1">
      <alignment horizontal="center" vertical="center" wrapText="1"/>
    </xf>
    <xf numFmtId="4" fontId="12" fillId="12" borderId="3" xfId="2" applyNumberFormat="1" applyFont="1" applyFill="1" applyBorder="1" applyAlignment="1" applyProtection="1">
      <alignment horizontal="center" vertical="center" wrapText="1"/>
    </xf>
    <xf numFmtId="4" fontId="12" fillId="12" borderId="2" xfId="4" applyNumberFormat="1" applyFont="1" applyFill="1" applyBorder="1" applyAlignment="1" applyProtection="1">
      <alignment horizontal="center" vertical="center" wrapText="1"/>
    </xf>
    <xf numFmtId="4" fontId="22" fillId="12" borderId="4" xfId="4" applyNumberFormat="1" applyFont="1" applyFill="1" applyBorder="1" applyAlignment="1" applyProtection="1">
      <alignment horizontal="center" vertical="center" wrapText="1"/>
      <protection locked="0"/>
    </xf>
    <xf numFmtId="4" fontId="22" fillId="12" borderId="2" xfId="4" applyNumberFormat="1" applyFont="1" applyFill="1" applyBorder="1" applyAlignment="1" applyProtection="1">
      <alignment horizontal="center" vertical="center" wrapText="1"/>
      <protection locked="0"/>
    </xf>
    <xf numFmtId="4" fontId="16" fillId="12" borderId="2" xfId="3" applyNumberFormat="1" applyFont="1" applyFill="1" applyBorder="1" applyAlignment="1" applyProtection="1">
      <alignment horizontal="center" vertical="center"/>
    </xf>
    <xf numFmtId="4" fontId="18" fillId="12" borderId="2" xfId="0" applyNumberFormat="1" applyFont="1" applyFill="1" applyBorder="1" applyAlignment="1" applyProtection="1">
      <alignment horizontal="center" vertical="center" wrapText="1"/>
    </xf>
    <xf numFmtId="4" fontId="12" fillId="12" borderId="2" xfId="3" applyNumberFormat="1" applyFont="1" applyFill="1" applyBorder="1" applyAlignment="1" applyProtection="1">
      <alignment horizontal="center" vertical="center" wrapText="1"/>
    </xf>
    <xf numFmtId="4" fontId="16" fillId="12" borderId="3" xfId="3" applyNumberFormat="1" applyFont="1" applyFill="1" applyBorder="1" applyAlignment="1" applyProtection="1">
      <alignment horizontal="center" vertical="center"/>
    </xf>
    <xf numFmtId="4" fontId="30" fillId="12" borderId="2" xfId="5" applyNumberFormat="1" applyFont="1" applyFill="1" applyBorder="1" applyAlignment="1" applyProtection="1">
      <alignment horizontal="center" vertical="center" wrapText="1"/>
      <protection locked="0"/>
    </xf>
    <xf numFmtId="0" fontId="15" fillId="12" borderId="0" xfId="0" applyFont="1" applyFill="1" applyProtection="1">
      <protection locked="0"/>
    </xf>
    <xf numFmtId="0" fontId="15" fillId="12" borderId="0" xfId="0" applyFont="1" applyFill="1" applyProtection="1"/>
    <xf numFmtId="49" fontId="18" fillId="0" borderId="36" xfId="3" applyNumberFormat="1" applyFont="1" applyFill="1" applyBorder="1" applyAlignment="1" applyProtection="1">
      <alignment horizontal="center" vertical="center"/>
    </xf>
    <xf numFmtId="49" fontId="18" fillId="0" borderId="37" xfId="3" applyNumberFormat="1" applyFont="1" applyFill="1" applyBorder="1" applyAlignment="1" applyProtection="1">
      <alignment horizontal="center" vertical="center"/>
    </xf>
    <xf numFmtId="4" fontId="15" fillId="0" borderId="37" xfId="0" applyNumberFormat="1" applyFont="1" applyFill="1" applyBorder="1" applyAlignment="1" applyProtection="1">
      <alignment vertical="center" wrapText="1"/>
    </xf>
    <xf numFmtId="4" fontId="15" fillId="0" borderId="37" xfId="0" applyNumberFormat="1" applyFont="1" applyFill="1" applyBorder="1" applyAlignment="1" applyProtection="1">
      <alignment horizontal="center" vertical="center"/>
    </xf>
    <xf numFmtId="49" fontId="15" fillId="0" borderId="37" xfId="0" applyNumberFormat="1" applyFont="1" applyFill="1" applyBorder="1" applyAlignment="1" applyProtection="1">
      <alignment horizontal="center" vertical="center" wrapText="1"/>
    </xf>
    <xf numFmtId="4" fontId="13" fillId="0" borderId="37" xfId="0" applyNumberFormat="1" applyFont="1" applyFill="1" applyBorder="1" applyAlignment="1" applyProtection="1">
      <alignment horizontal="center" vertical="center"/>
    </xf>
    <xf numFmtId="4" fontId="18" fillId="0" borderId="37" xfId="0" applyNumberFormat="1" applyFont="1" applyFill="1" applyBorder="1" applyAlignment="1" applyProtection="1">
      <alignment horizontal="center" vertical="center" wrapText="1"/>
    </xf>
    <xf numFmtId="49" fontId="18" fillId="12" borderId="1" xfId="3" applyNumberFormat="1" applyFont="1" applyFill="1" applyBorder="1" applyAlignment="1" applyProtection="1">
      <alignment horizontal="center" vertical="center"/>
    </xf>
    <xf numFmtId="49" fontId="12" fillId="12" borderId="2" xfId="2" applyNumberFormat="1" applyFont="1" applyFill="1" applyBorder="1" applyAlignment="1" applyProtection="1">
      <alignment horizontal="center" vertical="center" wrapText="1"/>
    </xf>
    <xf numFmtId="4" fontId="22" fillId="12" borderId="2" xfId="4" applyNumberFormat="1" applyFont="1" applyFill="1" applyBorder="1" applyAlignment="1" applyProtection="1">
      <alignment horizontal="center" vertical="center" wrapText="1"/>
    </xf>
    <xf numFmtId="4" fontId="22" fillId="12" borderId="9" xfId="4" applyNumberFormat="1" applyFont="1" applyFill="1" applyBorder="1" applyAlignment="1" applyProtection="1">
      <alignment horizontal="center" vertical="center" wrapText="1"/>
    </xf>
    <xf numFmtId="4" fontId="15" fillId="12" borderId="4" xfId="0" applyNumberFormat="1" applyFont="1" applyFill="1" applyBorder="1" applyAlignment="1" applyProtection="1">
      <alignment horizontal="center" vertical="center"/>
      <protection locked="0"/>
    </xf>
    <xf numFmtId="4" fontId="18" fillId="12" borderId="2" xfId="0" applyNumberFormat="1" applyFont="1" applyFill="1" applyBorder="1" applyAlignment="1" applyProtection="1">
      <alignment horizontal="center" vertical="center" wrapText="1"/>
      <protection locked="0"/>
    </xf>
    <xf numFmtId="4" fontId="13" fillId="12" borderId="2" xfId="2" applyNumberFormat="1" applyFont="1" applyFill="1" applyBorder="1" applyAlignment="1" applyProtection="1">
      <alignment horizontal="center" vertical="center" wrapText="1"/>
    </xf>
    <xf numFmtId="4" fontId="22" fillId="12" borderId="3" xfId="4" applyNumberFormat="1" applyFont="1" applyFill="1" applyBorder="1" applyAlignment="1" applyProtection="1">
      <alignment horizontal="center" vertical="center" wrapText="1"/>
    </xf>
    <xf numFmtId="4" fontId="15" fillId="10" borderId="39" xfId="0" applyNumberFormat="1" applyFont="1" applyFill="1" applyBorder="1" applyAlignment="1" applyProtection="1">
      <alignment horizontal="center" vertical="center"/>
      <protection locked="0"/>
    </xf>
    <xf numFmtId="4" fontId="18" fillId="0" borderId="37" xfId="0" applyNumberFormat="1" applyFont="1" applyFill="1" applyBorder="1" applyAlignment="1" applyProtection="1">
      <alignment horizontal="center" vertical="center" wrapText="1"/>
      <protection locked="0"/>
    </xf>
    <xf numFmtId="4" fontId="16" fillId="0" borderId="38" xfId="3" applyNumberFormat="1" applyFont="1" applyFill="1" applyBorder="1" applyAlignment="1" applyProtection="1">
      <alignment horizontal="center" vertical="center"/>
    </xf>
    <xf numFmtId="0" fontId="31" fillId="0" borderId="37" xfId="0" applyFont="1" applyFill="1" applyBorder="1" applyProtection="1">
      <protection locked="0"/>
    </xf>
    <xf numFmtId="0" fontId="13" fillId="0" borderId="39" xfId="2" applyFont="1" applyFill="1" applyBorder="1" applyAlignment="1" applyProtection="1">
      <alignment horizontal="center" vertical="center"/>
    </xf>
    <xf numFmtId="3" fontId="13" fillId="0" borderId="37" xfId="3" applyNumberFormat="1" applyFont="1" applyFill="1" applyBorder="1" applyAlignment="1" applyProtection="1">
      <alignment horizontal="center" vertical="center"/>
    </xf>
    <xf numFmtId="4" fontId="13" fillId="0" borderId="38" xfId="2" applyNumberFormat="1" applyFont="1" applyFill="1" applyBorder="1" applyAlignment="1" applyProtection="1">
      <alignment horizontal="center" vertical="center" wrapText="1"/>
    </xf>
    <xf numFmtId="164" fontId="12" fillId="0" borderId="37" xfId="2" applyNumberFormat="1" applyFont="1" applyFill="1" applyBorder="1" applyAlignment="1" applyProtection="1">
      <alignment horizontal="center" vertical="center" wrapText="1"/>
    </xf>
    <xf numFmtId="164" fontId="12" fillId="0" borderId="38" xfId="2" applyNumberFormat="1" applyFont="1" applyFill="1" applyBorder="1" applyAlignment="1" applyProtection="1">
      <alignment horizontal="center" vertical="center" wrapText="1"/>
    </xf>
    <xf numFmtId="0" fontId="15" fillId="0" borderId="37" xfId="0" applyFont="1" applyBorder="1"/>
    <xf numFmtId="49" fontId="10" fillId="13" borderId="1" xfId="0" applyNumberFormat="1" applyFont="1" applyFill="1" applyBorder="1" applyAlignment="1" applyProtection="1">
      <alignment horizontal="center" vertical="center" wrapText="1"/>
    </xf>
    <xf numFmtId="49" fontId="10" fillId="13" borderId="2" xfId="0" applyNumberFormat="1" applyFont="1" applyFill="1" applyBorder="1" applyAlignment="1" applyProtection="1">
      <alignment horizontal="center" vertical="center" wrapText="1"/>
    </xf>
    <xf numFmtId="4" fontId="12" fillId="13" borderId="17" xfId="0" applyNumberFormat="1" applyFont="1" applyFill="1" applyBorder="1" applyAlignment="1" applyProtection="1">
      <alignment horizontal="center" vertical="center" wrapText="1"/>
    </xf>
    <xf numFmtId="0" fontId="10" fillId="14" borderId="2" xfId="0" applyFont="1" applyFill="1" applyBorder="1" applyAlignment="1" applyProtection="1">
      <alignment horizontal="left" vertical="center" wrapText="1"/>
    </xf>
    <xf numFmtId="4" fontId="15" fillId="13" borderId="2" xfId="0" applyNumberFormat="1" applyFont="1" applyFill="1" applyBorder="1" applyAlignment="1" applyProtection="1">
      <alignment horizontal="center" vertical="center" wrapText="1"/>
    </xf>
    <xf numFmtId="4" fontId="15" fillId="13" borderId="3" xfId="0" applyNumberFormat="1" applyFont="1" applyFill="1" applyBorder="1" applyAlignment="1" applyProtection="1">
      <alignment horizontal="center" vertical="center" wrapText="1"/>
    </xf>
    <xf numFmtId="4" fontId="10" fillId="13" borderId="2" xfId="0" applyNumberFormat="1" applyFont="1" applyFill="1" applyBorder="1" applyAlignment="1" applyProtection="1">
      <alignment horizontal="center" vertical="center" wrapText="1"/>
    </xf>
    <xf numFmtId="4" fontId="10" fillId="13" borderId="3" xfId="0" applyNumberFormat="1" applyFont="1" applyFill="1" applyBorder="1" applyAlignment="1" applyProtection="1">
      <alignment horizontal="center" vertical="center" wrapText="1"/>
    </xf>
    <xf numFmtId="4" fontId="10" fillId="13" borderId="4" xfId="0" applyNumberFormat="1" applyFont="1" applyFill="1" applyBorder="1" applyAlignment="1" applyProtection="1">
      <alignment horizontal="center" vertical="center" wrapText="1"/>
      <protection locked="0"/>
    </xf>
    <xf numFmtId="4" fontId="10" fillId="13" borderId="2" xfId="0" applyNumberFormat="1" applyFont="1" applyFill="1" applyBorder="1" applyAlignment="1" applyProtection="1">
      <alignment horizontal="center" vertical="center" wrapText="1"/>
      <protection locked="0"/>
    </xf>
    <xf numFmtId="4" fontId="16" fillId="14" borderId="2" xfId="3" applyNumberFormat="1" applyFont="1" applyFill="1" applyBorder="1" applyAlignment="1" applyProtection="1">
      <alignment horizontal="center" vertical="center"/>
    </xf>
    <xf numFmtId="4" fontId="18" fillId="14" borderId="2" xfId="0" applyNumberFormat="1" applyFont="1" applyFill="1" applyBorder="1" applyAlignment="1" applyProtection="1">
      <alignment horizontal="center" vertical="center" wrapText="1"/>
    </xf>
    <xf numFmtId="4" fontId="12" fillId="14" borderId="2" xfId="3" applyNumberFormat="1" applyFont="1" applyFill="1" applyBorder="1" applyAlignment="1" applyProtection="1">
      <alignment horizontal="center" vertical="center" wrapText="1"/>
    </xf>
    <xf numFmtId="4" fontId="16" fillId="14" borderId="3" xfId="3" applyNumberFormat="1" applyFont="1" applyFill="1" applyBorder="1" applyAlignment="1" applyProtection="1">
      <alignment horizontal="center" vertical="center"/>
    </xf>
    <xf numFmtId="4" fontId="28" fillId="14" borderId="2" xfId="0" applyNumberFormat="1" applyFont="1" applyFill="1" applyBorder="1" applyAlignment="1" applyProtection="1">
      <alignment horizontal="center" vertical="center"/>
      <protection locked="0"/>
    </xf>
    <xf numFmtId="4" fontId="6" fillId="14" borderId="0" xfId="0" applyNumberFormat="1" applyFont="1" applyFill="1" applyAlignment="1" applyProtection="1">
      <alignment horizontal="center" vertical="center"/>
      <protection locked="0"/>
    </xf>
    <xf numFmtId="4" fontId="6" fillId="14" borderId="0" xfId="0" applyNumberFormat="1" applyFont="1" applyFill="1" applyAlignment="1" applyProtection="1">
      <alignment horizontal="center" vertical="center"/>
    </xf>
    <xf numFmtId="4" fontId="6" fillId="14" borderId="0" xfId="0" applyNumberFormat="1" applyFont="1" applyFill="1" applyProtection="1"/>
    <xf numFmtId="0" fontId="15" fillId="14" borderId="0" xfId="0" applyFont="1" applyFill="1" applyProtection="1"/>
    <xf numFmtId="0" fontId="15" fillId="0" borderId="37" xfId="0" applyFont="1" applyFill="1" applyBorder="1"/>
    <xf numFmtId="4" fontId="15" fillId="0" borderId="39" xfId="0" applyNumberFormat="1" applyFont="1" applyFill="1" applyBorder="1" applyAlignment="1" applyProtection="1">
      <alignment horizontal="center" vertical="center"/>
    </xf>
    <xf numFmtId="0" fontId="12" fillId="0" borderId="39" xfId="2" applyFont="1" applyFill="1" applyBorder="1" applyAlignment="1" applyProtection="1">
      <alignment horizontal="center" vertical="center"/>
    </xf>
    <xf numFmtId="4" fontId="13" fillId="0" borderId="37" xfId="2" applyNumberFormat="1" applyFont="1" applyFill="1" applyBorder="1" applyAlignment="1" applyProtection="1">
      <alignment horizontal="center" vertical="center" wrapText="1"/>
    </xf>
    <xf numFmtId="4" fontId="12" fillId="0" borderId="38" xfId="2" applyNumberFormat="1" applyFont="1" applyFill="1" applyBorder="1" applyAlignment="1" applyProtection="1">
      <alignment horizontal="center" vertical="center" wrapText="1"/>
    </xf>
    <xf numFmtId="0" fontId="15" fillId="0" borderId="34" xfId="0" applyFont="1" applyFill="1" applyBorder="1"/>
    <xf numFmtId="164" fontId="15" fillId="0" borderId="37" xfId="0" applyNumberFormat="1" applyFont="1" applyFill="1" applyBorder="1" applyAlignment="1" applyProtection="1">
      <alignment horizontal="center" vertical="center" wrapText="1"/>
    </xf>
    <xf numFmtId="4" fontId="15" fillId="0" borderId="37" xfId="0" applyNumberFormat="1" applyFont="1" applyFill="1" applyBorder="1" applyAlignment="1" applyProtection="1">
      <alignment horizontal="center" vertical="center" wrapText="1"/>
    </xf>
    <xf numFmtId="164" fontId="15" fillId="0" borderId="38" xfId="0" applyNumberFormat="1" applyFont="1" applyFill="1" applyBorder="1" applyAlignment="1" applyProtection="1">
      <alignment horizontal="center" vertical="center" wrapText="1"/>
    </xf>
    <xf numFmtId="4" fontId="15" fillId="0" borderId="39" xfId="0" applyNumberFormat="1" applyFont="1" applyFill="1" applyBorder="1" applyAlignment="1" applyProtection="1">
      <alignment horizontal="center" vertical="center"/>
      <protection locked="0"/>
    </xf>
    <xf numFmtId="4" fontId="15" fillId="0" borderId="19" xfId="0" applyNumberFormat="1" applyFont="1" applyFill="1" applyBorder="1" applyAlignment="1" applyProtection="1">
      <alignment horizontal="center" vertical="center"/>
      <protection locked="0"/>
    </xf>
    <xf numFmtId="4" fontId="18" fillId="0" borderId="18" xfId="0" applyNumberFormat="1" applyFont="1" applyFill="1" applyBorder="1" applyAlignment="1" applyProtection="1">
      <alignment horizontal="center" vertical="center" wrapText="1"/>
      <protection locked="0"/>
    </xf>
    <xf numFmtId="0" fontId="30" fillId="0" borderId="18" xfId="0" applyFont="1" applyFill="1" applyBorder="1" applyProtection="1">
      <protection locked="0"/>
    </xf>
    <xf numFmtId="4" fontId="13" fillId="0" borderId="4" xfId="0" applyNumberFormat="1" applyFont="1" applyFill="1" applyBorder="1" applyAlignment="1" applyProtection="1">
      <alignment horizontal="center" vertical="center" wrapText="1"/>
      <protection locked="0"/>
    </xf>
    <xf numFmtId="4" fontId="13" fillId="0" borderId="2" xfId="0" applyNumberFormat="1" applyFont="1" applyFill="1" applyBorder="1" applyAlignment="1" applyProtection="1">
      <alignment horizontal="center" vertical="center" wrapText="1"/>
      <protection locked="0"/>
    </xf>
    <xf numFmtId="4" fontId="15" fillId="0" borderId="13" xfId="0" applyNumberFormat="1" applyFont="1" applyFill="1" applyBorder="1" applyAlignment="1" applyProtection="1">
      <alignment horizontal="center" vertical="center"/>
      <protection locked="0"/>
    </xf>
    <xf numFmtId="49" fontId="12" fillId="0" borderId="2" xfId="0" applyNumberFormat="1" applyFont="1" applyFill="1" applyBorder="1" applyAlignment="1" applyProtection="1">
      <alignment horizontal="center" vertical="center" wrapText="1"/>
    </xf>
    <xf numFmtId="4" fontId="15" fillId="0" borderId="24" xfId="0" applyNumberFormat="1" applyFont="1" applyFill="1" applyBorder="1" applyAlignment="1" applyProtection="1">
      <alignment horizontal="center" vertical="center"/>
      <protection locked="0"/>
    </xf>
    <xf numFmtId="4" fontId="12" fillId="5" borderId="2" xfId="4" applyNumberFormat="1" applyFont="1" applyFill="1" applyBorder="1" applyAlignment="1" applyProtection="1">
      <alignment horizontal="center" vertical="center" wrapText="1"/>
    </xf>
    <xf numFmtId="0" fontId="13" fillId="0" borderId="32" xfId="7" applyFont="1" applyFill="1" applyBorder="1" applyAlignment="1" applyProtection="1">
      <alignment horizontal="left" vertical="center" wrapText="1"/>
      <protection locked="0"/>
    </xf>
    <xf numFmtId="0" fontId="18" fillId="0" borderId="32" xfId="7" applyFont="1" applyFill="1" applyBorder="1" applyAlignment="1" applyProtection="1">
      <alignment horizontal="center" vertical="center" wrapText="1"/>
      <protection locked="0"/>
    </xf>
    <xf numFmtId="2" fontId="18" fillId="0" borderId="32" xfId="7" applyNumberFormat="1" applyFont="1" applyFill="1" applyBorder="1" applyAlignment="1" applyProtection="1">
      <alignment horizontal="center" vertical="center" wrapText="1"/>
      <protection locked="0"/>
    </xf>
    <xf numFmtId="4" fontId="15" fillId="0" borderId="33" xfId="0" applyNumberFormat="1" applyFont="1" applyFill="1" applyBorder="1" applyAlignment="1" applyProtection="1">
      <alignment horizontal="center" vertical="center"/>
      <protection locked="0"/>
    </xf>
    <xf numFmtId="0" fontId="12" fillId="8" borderId="33" xfId="2" applyFont="1" applyFill="1" applyBorder="1" applyAlignment="1" applyProtection="1">
      <alignment horizontal="center" vertical="center"/>
    </xf>
    <xf numFmtId="4" fontId="18" fillId="8" borderId="32" xfId="0" applyNumberFormat="1" applyFont="1" applyFill="1" applyBorder="1" applyAlignment="1" applyProtection="1">
      <alignment horizontal="center" vertical="center" wrapText="1"/>
      <protection locked="0"/>
    </xf>
    <xf numFmtId="4" fontId="15" fillId="5" borderId="28" xfId="0" applyNumberFormat="1" applyFont="1" applyFill="1" applyBorder="1" applyAlignment="1" applyProtection="1">
      <alignment horizontal="center" vertical="center"/>
      <protection locked="0"/>
    </xf>
    <xf numFmtId="4" fontId="10" fillId="5" borderId="28" xfId="0" applyNumberFormat="1" applyFont="1" applyFill="1" applyBorder="1" applyAlignment="1" applyProtection="1">
      <alignment horizontal="center" vertical="center"/>
      <protection locked="0"/>
    </xf>
    <xf numFmtId="4" fontId="12" fillId="6" borderId="37" xfId="0" applyNumberFormat="1" applyFont="1" applyFill="1" applyBorder="1" applyAlignment="1" applyProtection="1">
      <alignment horizontal="center" vertical="center" wrapText="1"/>
    </xf>
    <xf numFmtId="4" fontId="12" fillId="9" borderId="37" xfId="0" applyNumberFormat="1" applyFont="1" applyFill="1" applyBorder="1" applyAlignment="1" applyProtection="1">
      <alignment horizontal="center" vertical="center" wrapText="1"/>
    </xf>
    <xf numFmtId="0" fontId="36" fillId="8" borderId="37" xfId="6" applyFont="1" applyFill="1" applyBorder="1" applyAlignment="1" applyProtection="1">
      <alignment horizontal="center" vertical="center"/>
    </xf>
    <xf numFmtId="0" fontId="36" fillId="12" borderId="37" xfId="6" applyFont="1" applyFill="1" applyBorder="1" applyAlignment="1" applyProtection="1">
      <alignment horizontal="center" vertical="center"/>
    </xf>
    <xf numFmtId="4" fontId="12" fillId="0" borderId="37" xfId="0" applyNumberFormat="1" applyFont="1" applyFill="1" applyBorder="1" applyAlignment="1" applyProtection="1">
      <alignment horizontal="center" vertical="center"/>
    </xf>
    <xf numFmtId="4" fontId="10" fillId="0" borderId="37" xfId="0" applyNumberFormat="1" applyFont="1" applyFill="1" applyBorder="1" applyAlignment="1" applyProtection="1">
      <alignment horizontal="center" vertical="center"/>
    </xf>
    <xf numFmtId="0" fontId="15" fillId="0" borderId="37" xfId="0" applyFont="1" applyFill="1" applyBorder="1" applyAlignment="1">
      <alignment horizontal="center" vertical="center"/>
    </xf>
    <xf numFmtId="49" fontId="24" fillId="11" borderId="0" xfId="0" applyNumberFormat="1" applyFont="1" applyFill="1" applyAlignment="1" applyProtection="1">
      <alignment horizontal="left" vertical="center" wrapText="1"/>
    </xf>
    <xf numFmtId="4" fontId="5" fillId="0" borderId="0" xfId="0" applyNumberFormat="1" applyFont="1" applyAlignment="1" applyProtection="1">
      <alignment horizontal="center" vertical="center" wrapText="1"/>
    </xf>
    <xf numFmtId="49" fontId="10" fillId="2" borderId="14" xfId="0" applyNumberFormat="1" applyFont="1" applyFill="1" applyBorder="1" applyAlignment="1" applyProtection="1">
      <alignment horizontal="center" vertical="center" wrapText="1"/>
    </xf>
    <xf numFmtId="4" fontId="10" fillId="2" borderId="2" xfId="0" applyNumberFormat="1" applyFont="1" applyFill="1" applyBorder="1" applyAlignment="1" applyProtection="1">
      <alignment horizontal="center" vertical="center" wrapText="1"/>
    </xf>
    <xf numFmtId="0" fontId="15" fillId="0" borderId="39" xfId="0" applyFont="1" applyFill="1" applyBorder="1"/>
    <xf numFmtId="4" fontId="10" fillId="2" borderId="14" xfId="0" applyNumberFormat="1" applyFont="1" applyFill="1" applyBorder="1" applyAlignment="1" applyProtection="1">
      <alignment vertical="center" wrapText="1"/>
    </xf>
    <xf numFmtId="4" fontId="12" fillId="2" borderId="14" xfId="0" applyNumberFormat="1" applyFont="1" applyFill="1" applyBorder="1" applyAlignment="1" applyProtection="1">
      <alignment vertical="center" wrapText="1"/>
    </xf>
    <xf numFmtId="49" fontId="10" fillId="2" borderId="14" xfId="0" applyNumberFormat="1" applyFont="1" applyFill="1" applyBorder="1" applyAlignment="1" applyProtection="1">
      <alignment vertical="center" wrapText="1"/>
    </xf>
    <xf numFmtId="4" fontId="15" fillId="2" borderId="14" xfId="0" applyNumberFormat="1" applyFont="1" applyFill="1" applyBorder="1" applyAlignment="1" applyProtection="1">
      <alignment vertical="center" wrapText="1"/>
    </xf>
    <xf numFmtId="0" fontId="0" fillId="0" borderId="0" xfId="0" pivotButton="1"/>
    <xf numFmtId="0" fontId="0" fillId="0" borderId="0" xfId="0" applyNumberFormat="1"/>
    <xf numFmtId="0" fontId="15" fillId="4" borderId="23" xfId="0" applyFont="1" applyFill="1" applyBorder="1" applyAlignment="1">
      <alignment horizontal="center" vertical="center"/>
    </xf>
    <xf numFmtId="0" fontId="12" fillId="8" borderId="34" xfId="3" applyFont="1" applyFill="1" applyBorder="1" applyAlignment="1" applyProtection="1">
      <alignment vertical="center" wrapText="1"/>
    </xf>
    <xf numFmtId="0" fontId="15" fillId="0" borderId="34" xfId="0" applyFont="1" applyFill="1" applyBorder="1" applyProtection="1"/>
    <xf numFmtId="4" fontId="15" fillId="0" borderId="12" xfId="0" applyNumberFormat="1" applyFont="1" applyFill="1" applyBorder="1" applyAlignment="1" applyProtection="1">
      <alignment vertical="center" wrapText="1"/>
    </xf>
    <xf numFmtId="0" fontId="15" fillId="0" borderId="12" xfId="0" applyFont="1" applyBorder="1"/>
    <xf numFmtId="0" fontId="18" fillId="0" borderId="37" xfId="0" applyFont="1" applyBorder="1" applyAlignment="1">
      <alignment horizontal="left" wrapText="1"/>
    </xf>
    <xf numFmtId="4" fontId="16" fillId="8" borderId="2" xfId="0" applyNumberFormat="1" applyFont="1" applyFill="1" applyBorder="1" applyAlignment="1" applyProtection="1">
      <alignment horizontal="center" vertical="center" wrapText="1"/>
      <protection locked="0"/>
    </xf>
    <xf numFmtId="164" fontId="15" fillId="0" borderId="0" xfId="0" applyNumberFormat="1" applyFont="1" applyFill="1" applyProtection="1"/>
    <xf numFmtId="0" fontId="15" fillId="0" borderId="0" xfId="0" applyFont="1"/>
    <xf numFmtId="0" fontId="13" fillId="12" borderId="37" xfId="3" applyFont="1" applyFill="1" applyBorder="1" applyAlignment="1" applyProtection="1">
      <alignment vertical="center" wrapText="1"/>
    </xf>
    <xf numFmtId="49" fontId="16" fillId="12" borderId="40" xfId="3" applyNumberFormat="1" applyFont="1" applyFill="1" applyBorder="1" applyAlignment="1" applyProtection="1">
      <alignment horizontal="center" vertical="center"/>
    </xf>
    <xf numFmtId="49" fontId="18" fillId="12" borderId="41" xfId="3" applyNumberFormat="1" applyFont="1" applyFill="1" applyBorder="1" applyAlignment="1" applyProtection="1">
      <alignment horizontal="center" vertical="center"/>
    </xf>
    <xf numFmtId="0" fontId="12" fillId="12" borderId="42" xfId="2" applyFont="1" applyFill="1" applyBorder="1" applyAlignment="1" applyProtection="1">
      <alignment horizontal="center" vertical="center"/>
    </xf>
    <xf numFmtId="0" fontId="15" fillId="12" borderId="41" xfId="0" applyFont="1" applyFill="1" applyBorder="1" applyAlignment="1">
      <alignment horizontal="justify" vertical="center"/>
    </xf>
    <xf numFmtId="0" fontId="18" fillId="12" borderId="32" xfId="7" applyFont="1" applyFill="1" applyBorder="1" applyAlignment="1" applyProtection="1">
      <alignment horizontal="center" vertical="center" wrapText="1"/>
      <protection locked="0"/>
    </xf>
    <xf numFmtId="3" fontId="13" fillId="12" borderId="41" xfId="3" applyNumberFormat="1" applyFont="1" applyFill="1" applyBorder="1" applyAlignment="1" applyProtection="1">
      <alignment horizontal="center" vertical="center"/>
    </xf>
    <xf numFmtId="4" fontId="13" fillId="12" borderId="43" xfId="2" applyNumberFormat="1" applyFont="1" applyFill="1" applyBorder="1" applyAlignment="1" applyProtection="1">
      <alignment horizontal="center" vertical="center" wrapText="1"/>
    </xf>
    <xf numFmtId="4" fontId="13" fillId="12" borderId="41" xfId="2" applyNumberFormat="1" applyFont="1" applyFill="1" applyBorder="1" applyAlignment="1" applyProtection="1">
      <alignment horizontal="center" vertical="center" wrapText="1"/>
    </xf>
    <xf numFmtId="4" fontId="12" fillId="12" borderId="43" xfId="2" applyNumberFormat="1" applyFont="1" applyFill="1" applyBorder="1" applyAlignment="1" applyProtection="1">
      <alignment horizontal="center" vertical="center" wrapText="1"/>
    </xf>
    <xf numFmtId="4" fontId="12" fillId="12" borderId="41" xfId="4" applyNumberFormat="1" applyFont="1" applyFill="1" applyBorder="1" applyAlignment="1" applyProtection="1">
      <alignment horizontal="center" vertical="center" wrapText="1"/>
    </xf>
    <xf numFmtId="4" fontId="15" fillId="12" borderId="42" xfId="0" applyNumberFormat="1" applyFont="1" applyFill="1" applyBorder="1" applyAlignment="1" applyProtection="1">
      <alignment horizontal="center" vertical="center"/>
      <protection locked="0"/>
    </xf>
    <xf numFmtId="0" fontId="31" fillId="12" borderId="41" xfId="0" applyFont="1" applyFill="1" applyBorder="1" applyProtection="1">
      <protection locked="0"/>
    </xf>
    <xf numFmtId="49" fontId="18" fillId="12" borderId="26" xfId="3" applyNumberFormat="1" applyFont="1" applyFill="1" applyBorder="1" applyAlignment="1" applyProtection="1">
      <alignment horizontal="center" vertical="center"/>
    </xf>
    <xf numFmtId="49" fontId="18" fillId="12" borderId="27" xfId="3" applyNumberFormat="1" applyFont="1" applyFill="1" applyBorder="1" applyAlignment="1" applyProtection="1">
      <alignment horizontal="center" vertical="center"/>
    </xf>
    <xf numFmtId="0" fontId="12" fillId="12" borderId="28" xfId="2" applyFont="1" applyFill="1" applyBorder="1" applyAlignment="1" applyProtection="1">
      <alignment horizontal="center" vertical="center"/>
    </xf>
    <xf numFmtId="0" fontId="15" fillId="12" borderId="37" xfId="0" applyFont="1" applyFill="1" applyBorder="1" applyAlignment="1">
      <alignment horizontal="justify" vertical="center"/>
    </xf>
    <xf numFmtId="3" fontId="13" fillId="12" borderId="27" xfId="3" applyNumberFormat="1" applyFont="1" applyFill="1" applyBorder="1" applyAlignment="1" applyProtection="1">
      <alignment horizontal="center" vertical="center"/>
    </xf>
    <xf numFmtId="4" fontId="13" fillId="12" borderId="27" xfId="2" applyNumberFormat="1" applyFont="1" applyFill="1" applyBorder="1" applyAlignment="1" applyProtection="1">
      <alignment horizontal="center" vertical="center" wrapText="1"/>
    </xf>
    <xf numFmtId="4" fontId="12" fillId="12" borderId="27" xfId="2" applyNumberFormat="1" applyFont="1" applyFill="1" applyBorder="1" applyAlignment="1" applyProtection="1">
      <alignment horizontal="center" vertical="center" wrapText="1"/>
    </xf>
    <xf numFmtId="4" fontId="13" fillId="12" borderId="2" xfId="4" applyNumberFormat="1" applyFont="1" applyFill="1" applyBorder="1" applyAlignment="1" applyProtection="1">
      <alignment horizontal="center" vertical="center" wrapText="1"/>
    </xf>
    <xf numFmtId="4" fontId="15" fillId="12" borderId="28" xfId="0" applyNumberFormat="1" applyFont="1" applyFill="1" applyBorder="1" applyAlignment="1" applyProtection="1">
      <alignment horizontal="center" vertical="center"/>
      <protection locked="0"/>
    </xf>
    <xf numFmtId="4" fontId="18" fillId="12" borderId="27" xfId="0" applyNumberFormat="1" applyFont="1" applyFill="1" applyBorder="1" applyAlignment="1" applyProtection="1">
      <alignment horizontal="center" vertical="center" wrapText="1"/>
      <protection locked="0"/>
    </xf>
    <xf numFmtId="4" fontId="18" fillId="12" borderId="2" xfId="3" applyNumberFormat="1" applyFont="1" applyFill="1" applyBorder="1" applyAlignment="1" applyProtection="1">
      <alignment horizontal="center" vertical="center"/>
    </xf>
    <xf numFmtId="0" fontId="31" fillId="12" borderId="27" xfId="0" applyFont="1" applyFill="1" applyBorder="1" applyProtection="1">
      <protection locked="0"/>
    </xf>
    <xf numFmtId="4" fontId="18" fillId="0" borderId="41" xfId="0" applyNumberFormat="1" applyFont="1" applyFill="1" applyBorder="1" applyAlignment="1" applyProtection="1">
      <alignment horizontal="center" vertical="center" wrapText="1"/>
      <protection locked="0"/>
    </xf>
    <xf numFmtId="4" fontId="7" fillId="0" borderId="0" xfId="0" applyNumberFormat="1" applyFont="1" applyAlignment="1" applyProtection="1">
      <alignment horizontal="center" vertical="center" wrapText="1"/>
    </xf>
    <xf numFmtId="4" fontId="5" fillId="0" borderId="0" xfId="0" applyNumberFormat="1" applyFont="1" applyAlignment="1" applyProtection="1">
      <alignment horizontal="center" vertical="center" wrapText="1"/>
    </xf>
    <xf numFmtId="4" fontId="5" fillId="5" borderId="3" xfId="0" applyNumberFormat="1" applyFont="1" applyFill="1" applyBorder="1" applyAlignment="1" applyProtection="1">
      <alignment horizontal="center" vertical="center" wrapText="1"/>
    </xf>
    <xf numFmtId="4" fontId="5" fillId="5" borderId="15" xfId="0" applyNumberFormat="1" applyFont="1" applyFill="1" applyBorder="1" applyAlignment="1" applyProtection="1">
      <alignment horizontal="center" vertical="center" wrapText="1"/>
    </xf>
    <xf numFmtId="4" fontId="5" fillId="5" borderId="13" xfId="0" applyNumberFormat="1" applyFont="1" applyFill="1" applyBorder="1" applyAlignment="1" applyProtection="1">
      <alignment horizontal="center" vertical="center" wrapText="1"/>
    </xf>
    <xf numFmtId="4" fontId="10" fillId="2" borderId="2" xfId="0" applyNumberFormat="1" applyFont="1" applyFill="1" applyBorder="1" applyAlignment="1" applyProtection="1">
      <alignment horizontal="center" vertical="center" wrapText="1"/>
    </xf>
    <xf numFmtId="0" fontId="13" fillId="0" borderId="2" xfId="0" applyFont="1" applyBorder="1" applyProtection="1"/>
    <xf numFmtId="4" fontId="29" fillId="0" borderId="14" xfId="0" applyNumberFormat="1" applyFont="1" applyBorder="1" applyAlignment="1" applyProtection="1">
      <alignment horizontal="center" vertical="center"/>
      <protection locked="0"/>
    </xf>
    <xf numFmtId="4" fontId="29" fillId="0" borderId="12" xfId="0" applyNumberFormat="1" applyFont="1" applyBorder="1" applyAlignment="1" applyProtection="1">
      <alignment horizontal="center" vertical="center"/>
      <protection locked="0"/>
    </xf>
    <xf numFmtId="49" fontId="24" fillId="11" borderId="0" xfId="0" applyNumberFormat="1" applyFont="1" applyFill="1" applyAlignment="1" applyProtection="1">
      <alignment horizontal="left" vertical="center" wrapText="1"/>
    </xf>
    <xf numFmtId="49" fontId="19" fillId="0" borderId="0" xfId="2" applyNumberFormat="1" applyFont="1" applyAlignment="1" applyProtection="1">
      <alignment horizontal="left" vertical="top" wrapText="1"/>
    </xf>
    <xf numFmtId="49" fontId="37" fillId="0" borderId="0" xfId="2" applyNumberFormat="1" applyFont="1" applyAlignment="1" applyProtection="1">
      <alignment horizontal="left" vertical="top" wrapText="1"/>
    </xf>
    <xf numFmtId="49" fontId="8" fillId="4" borderId="0" xfId="0" applyNumberFormat="1" applyFont="1" applyFill="1" applyAlignment="1" applyProtection="1">
      <alignment horizontal="left"/>
    </xf>
  </cellXfs>
  <cellStyles count="8">
    <cellStyle name="Обычный" xfId="0" builtinId="0"/>
    <cellStyle name="Обычный 2 2" xfId="2" xr:uid="{2926802A-023B-4A49-A9F9-3DCE9334B35F}"/>
    <cellStyle name="Обычный 2 3" xfId="5" xr:uid="{F8DB24B7-6CAB-4C7C-926E-6EE005CA8C51}"/>
    <cellStyle name="Обычный 3 2" xfId="3" xr:uid="{A2FE9801-0192-47E5-AD4F-58BBF72D9775}"/>
    <cellStyle name="Обычный 6" xfId="7" xr:uid="{F45BD5AF-AC9D-4FCB-8AB7-CBB07E2326A4}"/>
    <cellStyle name="Обычный_Лист1" xfId="6" xr:uid="{6A0F3B94-609D-4A79-B6A5-ACFC30920719}"/>
    <cellStyle name="Финансовый" xfId="1" builtinId="3"/>
    <cellStyle name="Финансовый 2" xfId="4" xr:uid="{94A24CDA-5885-45EA-B223-9AE152C940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11</xdr:col>
      <xdr:colOff>0</xdr:colOff>
      <xdr:row>111</xdr:row>
      <xdr:rowOff>0</xdr:rowOff>
    </xdr:from>
    <xdr:ext cx="38100" cy="171450"/>
    <xdr:sp macro="" textlink="">
      <xdr:nvSpPr>
        <xdr:cNvPr id="2" name="Shape 3">
          <a:extLst>
            <a:ext uri="{FF2B5EF4-FFF2-40B4-BE49-F238E27FC236}">
              <a16:creationId xmlns:a16="http://schemas.microsoft.com/office/drawing/2014/main" id="{AF7BD747-2C26-43A0-8820-9FF1A00C586C}"/>
            </a:ext>
          </a:extLst>
        </xdr:cNvPr>
        <xdr:cNvSpPr txBox="1"/>
      </xdr:nvSpPr>
      <xdr:spPr>
        <a:xfrm>
          <a:off x="14363700" y="3539490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111</xdr:row>
      <xdr:rowOff>0</xdr:rowOff>
    </xdr:from>
    <xdr:ext cx="38100" cy="171450"/>
    <xdr:sp macro="" textlink="">
      <xdr:nvSpPr>
        <xdr:cNvPr id="3" name="Shape 4">
          <a:extLst>
            <a:ext uri="{FF2B5EF4-FFF2-40B4-BE49-F238E27FC236}">
              <a16:creationId xmlns:a16="http://schemas.microsoft.com/office/drawing/2014/main" id="{127B87D2-EC64-4E92-A0B1-8B7248473070}"/>
            </a:ext>
          </a:extLst>
        </xdr:cNvPr>
        <xdr:cNvSpPr txBox="1"/>
      </xdr:nvSpPr>
      <xdr:spPr>
        <a:xfrm>
          <a:off x="14363700" y="3539490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111</xdr:row>
      <xdr:rowOff>0</xdr:rowOff>
    </xdr:from>
    <xdr:ext cx="38100" cy="171450"/>
    <xdr:sp macro="" textlink="">
      <xdr:nvSpPr>
        <xdr:cNvPr id="4" name="Shape 3">
          <a:extLst>
            <a:ext uri="{FF2B5EF4-FFF2-40B4-BE49-F238E27FC236}">
              <a16:creationId xmlns:a16="http://schemas.microsoft.com/office/drawing/2014/main" id="{8A075C71-1D09-4144-801E-BD009946F777}"/>
            </a:ext>
          </a:extLst>
        </xdr:cNvPr>
        <xdr:cNvSpPr txBox="1"/>
      </xdr:nvSpPr>
      <xdr:spPr>
        <a:xfrm>
          <a:off x="14363700" y="3539490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111</xdr:row>
      <xdr:rowOff>0</xdr:rowOff>
    </xdr:from>
    <xdr:ext cx="38100" cy="171450"/>
    <xdr:sp macro="" textlink="">
      <xdr:nvSpPr>
        <xdr:cNvPr id="5" name="Shape 4">
          <a:extLst>
            <a:ext uri="{FF2B5EF4-FFF2-40B4-BE49-F238E27FC236}">
              <a16:creationId xmlns:a16="http://schemas.microsoft.com/office/drawing/2014/main" id="{0D7C48CB-3D3E-4CB9-BBAE-769551A2F074}"/>
            </a:ext>
          </a:extLst>
        </xdr:cNvPr>
        <xdr:cNvSpPr txBox="1"/>
      </xdr:nvSpPr>
      <xdr:spPr>
        <a:xfrm>
          <a:off x="14363700" y="3539490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11</xdr:col>
      <xdr:colOff>0</xdr:colOff>
      <xdr:row>111</xdr:row>
      <xdr:rowOff>0</xdr:rowOff>
    </xdr:from>
    <xdr:ext cx="38100" cy="171450"/>
    <xdr:sp macro="" textlink="">
      <xdr:nvSpPr>
        <xdr:cNvPr id="6" name="Shape 5">
          <a:extLst>
            <a:ext uri="{FF2B5EF4-FFF2-40B4-BE49-F238E27FC236}">
              <a16:creationId xmlns:a16="http://schemas.microsoft.com/office/drawing/2014/main" id="{FAEE67BC-717E-459A-89BA-60D3BDCA37D5}"/>
            </a:ext>
          </a:extLst>
        </xdr:cNvPr>
        <xdr:cNvSpPr txBox="1"/>
      </xdr:nvSpPr>
      <xdr:spPr>
        <a:xfrm>
          <a:off x="14363700" y="35394900"/>
          <a:ext cx="38100" cy="171450"/>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Шилкова Евгения" refreshedDate="46279.671924189817" createdVersion="7" refreshedVersion="7" minRefreshableVersion="3" recordCount="101" xr:uid="{E0EE864C-4977-47CB-98EB-E4FEFCC227BB}">
  <cacheSource type="worksheet">
    <worksheetSource ref="A10:K111" sheet="ВДЦ   Вэйвер (2)"/>
  </cacheSource>
  <cacheFields count="11">
    <cacheField name="Номер п/п" numFmtId="49">
      <sharedItems containsBlank="1"/>
    </cacheField>
    <cacheField name="р/м" numFmtId="49">
      <sharedItems containsBlank="1" count="5">
        <m/>
        <s v="р"/>
        <s v="м"/>
        <s v="усл"/>
        <s v="компл"/>
      </sharedItems>
    </cacheField>
    <cacheField name="Код" numFmtId="0">
      <sharedItems containsBlank="1"/>
    </cacheField>
    <cacheField name="Наименование  затрат" numFmtId="0">
      <sharedItems count="86" longText="1">
        <s v="Устройство  стен  и перегородок  ниже отм. 0.00"/>
        <s v="Жилые секции"/>
        <s v="Устройство внутренних стен    t= 200мм. (подвал отм. -4.400)"/>
        <s v="Устройство внутренних стен из  блоков ячеистого бетона  t= 200мм."/>
        <s v="Блок газобетонный стеновой без паза и гребня БП-200 625*200*250"/>
        <s v="Раствор М100"/>
        <s v="Клей для силикатных блоков и газоблоков "/>
        <s v="Сетка кладочная базальтовая 25х25мм диаметр 1мм."/>
        <s v=" Устройство перегородок   t= 80мм. ( подвал отм. -4.400)"/>
        <s v="Устройство перегородок из  влагостойких полнотелых пазогребневых плит  ПГП  толщиной  t= 80мм., с монтажем металлического каркаса при высоте перегородок выше 3,6м"/>
        <s v="Пазогребневая гипсовая плита полнотелая 667*500*80"/>
        <s v="Клей для гипсокартона и пазогребневых плит"/>
        <s v="Паркинг"/>
        <s v="Устройство внутренних стен    t= 200мм. (отм. -4.400)"/>
        <s v="Устройство внутренних  стен   t= 250мм.(отм. -4.400)"/>
        <s v="Устройство стен  из кирпича керамического полнотелого t= 250мм."/>
        <s v="Кирпич керамический одинарный полнотелый рядовой"/>
        <s v=" Устройство перегородок   t= 80мм. (отм. -4.400)"/>
        <s v="Монтаж перемычек ниже отм. 0.00"/>
        <s v="Монтаж перемычек паркинг (отм. -4.400)"/>
        <s v="Арматура А500С 12 ст.3сп/пс (11,75 м ГОСТ 52544-2006 ГОСТ 34028-2016)"/>
        <s v="ПБП-19.19.16    ТУ23.61.12-011-83312286-20"/>
        <s v="Монтаж перемычек подвал (отм. 4.400)"/>
        <s v="ПБП-19.19.16 (1,5м) ТУ23.61.12-011-83312286-20"/>
        <s v="ПБП-19.19.16 (1,75) ТУ23.61.12-011-83312286-20"/>
        <s v="Уголок  L100х6.5 "/>
        <s v="Устройство  стен  и перегородок  выше отм. 0.00 "/>
        <s v="Устройство наружных стен   t= 200мм."/>
        <s v="Устройство наружных стен из  блоков ячеистого бетона  t= 200мм."/>
        <s v="Устройство внутренних стен    t= 200мм."/>
        <s v="Устройство внутренних  стен   t= 250мм."/>
        <s v=" Устройство перегородок   t= 80мм."/>
        <s v="Устройство  перегородок  из кирпича   t= 120мм."/>
        <s v="Устройство перегородок из кирпича керамического полнотелого t=120мм"/>
        <s v="Монтаж перемычек  1 этаж (цоколь)"/>
        <s v="ПБП-19.19.16 ТУ23.61.12-011-83312286-20 (2700)"/>
        <s v="ПБП-19.19.16  ТУ23.61.12-011-83312286-20 (1250)"/>
        <s v="ПБП-19.19.16  ТУ23.61.12-011-83312286-20 (1600)"/>
        <s v="ПБП-19.19.16  ТУ23.61.12-011-83312286-20 (1900)"/>
        <s v="Монтаж перемычек выше отм.0.00"/>
        <s v="ПБП-15.20.15 ТУ23.61.12-011-83312286-20 "/>
        <s v="ПБП-15.20.18 ТУ23.61.12-011-83312286-20 "/>
        <s v="ПБП-15.20.19 ТУ23.61.12-011-83312286-20 "/>
        <s v="ПБП-19.19.24  ТУ23.61.12-011-83312286-20 "/>
        <s v="Уголок  L 75х6"/>
        <s v="Гидроизоляция ниже отм.0.00"/>
        <s v="Устройство  отсечной  гидроизоляции "/>
        <s v="Мастика приклеивающая &quot;Технониколь №27&quot; или аналог"/>
        <s v="Отсечная гидроизоляция Технониколь (200мм) Первый ряд каменных работ "/>
        <s v="Услуги Башенного крана"/>
        <s v="Услуги Башенного крана (12 месяцев по 15 часов в месяц сверхнормативных, в случае если подрядчику придется пользоваться БК вне базовых 12 часов в смену)"/>
        <s v="Услуги Башенного крана ( 1 месяц по 12 часов в день)"/>
        <s v="Услуги по обслуживанию строительной площадки в т.ч.:"/>
        <s v="Услуги по обслуживанию строительной площадки в т.ч.:                                             Затраты по электроэнергии (прогрев, отопление, освещение,  межэтажное освещение, краны), обслуживание биотуалетов, уборка мусора (самосвал, погрузчик, щетка), вывоз мусора."/>
        <s v="Уголок  L100х6.5 (уточняется проектом)" u="1"/>
        <s v="ПБП-15.20.15 ТУ23.61.12-011-83312286-20 (уточняется проектом)" u="1"/>
        <s v="Плита гипсовая пазогребневая (ПГП) Волма 667x500x80 мм полнотелая влагостойкая плотностью не более 1250 кг/м³ ГОСТ6428-2018 на гипсовом клею типа &quot;Волма Монтаж&quot;. " u="1"/>
        <s v="L100x6.5 L=200мм" u="1"/>
        <s v="Арматура А500 d=12" u="1"/>
        <s v="ПБП-19.19.24  ТУ23.61.12-011-83312286-20  (уточняется проектом)" u="1"/>
        <s v="Уголок  L  75х6 (уточняется проектом)" u="1"/>
        <s v="Вывоз мусора" u="1"/>
        <s v="Блок I /625*200*250/D600/B2,5/F100   стеновой из ячеистого бетона автоклавного твердения_x000a_" u="1"/>
        <s v="Арматура ⌀12 А500С" u="1"/>
        <s v="Затраты по электроэнергии (прогрев, отопление, освещение,  межэтажное освещение, краны)" u="1"/>
        <s v="ПБП-19.19.1 ТУ23.61.12-011-83312286-20 " u="1"/>
        <s v="Кирпич рядовой  полнотелый  керамический 250х120х65 " u="1"/>
        <s v="ПБП-19.19.1 ТУ23.61.12-011-83312286-20 (уточняется проектом)" u="1"/>
        <s v="Пазогребневая гипсовая плита 667*500*80" u="1"/>
        <s v="Уборка мусора (самосвал, погрузчик, Щетка )" u="1"/>
        <s v="Услуги Башенного крана ( 2 месяца по 10 часов в день)" u="1"/>
        <s v="Уголок  L  75х6" u="1"/>
        <s v="Клей для  блоков из ячеистого бетона" u="1"/>
        <s v="Дюбель  6*50 мм. (уточняется проектом)" u="1"/>
        <s v="Устройство внутренних стен из  блоков ячеистого  бетона t= 200мм." u="1"/>
        <s v="Цементно-песчаный раствор М100" u="1"/>
        <s v="Арматура А500 d=12 (уточняется проектом)" u="1"/>
        <s v="Клей для  пазогребневых плит  &quot;Волма Монтаж&quot; или аналог" u="1"/>
        <s v="Устройство  отсечной  гидроизоляции (уточняется проектом)" u="1"/>
        <s v="Металлические стойки (уточняется проектом)" u="1"/>
        <s v="ПБП-15.20.18 ТУ23.61.12-011-83312286-20  (уточняется проектом)" u="1"/>
        <s v="ПБП-15.20.19 ТУ23.61.12-011-83312286-20  (уточняется проектом)" u="1"/>
        <s v="ПБП-19.19.16  ТУ23.61.12-011-83312286-20 (уточняется проектом)" u="1"/>
        <s v="Обслуживание биотуалетов" u="1"/>
        <s v="Услуги Башенного крана ( 11 месяцев по 2 часа в день,  всего  572 часа )" u="1"/>
        <s v="Раствор цементно-песчаный М100 " u="1"/>
      </sharedItems>
    </cacheField>
    <cacheField name="Тип затрат" numFmtId="0">
      <sharedItems containsBlank="1"/>
    </cacheField>
    <cacheField name="Ед. изм." numFmtId="0">
      <sharedItems containsBlank="1" count="10">
        <m/>
        <s v="м3"/>
        <s v="кг"/>
        <s v="м2"/>
        <s v="шт."/>
        <s v="тн"/>
        <s v="шт"/>
        <s v="час"/>
        <s v="мес"/>
        <s v="услуга" u="1"/>
      </sharedItems>
    </cacheField>
    <cacheField name="Норма Расхода" numFmtId="0">
      <sharedItems containsBlank="1" containsMixedTypes="1" containsNumber="1" minValue="0.02" maxValue="400"/>
    </cacheField>
    <cacheField name="Секция1" numFmtId="0">
      <sharedItems containsString="0" containsBlank="1" containsNumber="1" minValue="2E-3" maxValue="39918.000000000007"/>
    </cacheField>
    <cacheField name="Секция2" numFmtId="0">
      <sharedItems containsString="0" containsBlank="1" containsNumber="1" minValue="0" maxValue="15600"/>
    </cacheField>
    <cacheField name="Паркинг" numFmtId="0">
      <sharedItems containsString="0" containsBlank="1" containsNumber="1" minValue="2E-3" maxValue="288"/>
    </cacheField>
    <cacheField name="Всего кол-во" numFmtId="0">
      <sharedItems containsString="0" containsBlank="1" containsNumber="1" minValue="2E-3" maxValue="5551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1">
  <r>
    <m/>
    <x v="0"/>
    <m/>
    <x v="0"/>
    <m/>
    <x v="0"/>
    <m/>
    <m/>
    <m/>
    <m/>
    <m/>
  </r>
  <r>
    <m/>
    <x v="0"/>
    <m/>
    <x v="1"/>
    <m/>
    <x v="0"/>
    <m/>
    <m/>
    <m/>
    <m/>
    <m/>
  </r>
  <r>
    <s v="1"/>
    <x v="0"/>
    <s v="0.1.4.3.2.1"/>
    <x v="2"/>
    <m/>
    <x v="0"/>
    <m/>
    <m/>
    <m/>
    <m/>
    <m/>
  </r>
  <r>
    <s v="1.1"/>
    <x v="1"/>
    <s v="0.1.4.3.2.1"/>
    <x v="3"/>
    <s v="договорная цена"/>
    <x v="1"/>
    <n v="1"/>
    <n v="37.47"/>
    <n v="41.61"/>
    <m/>
    <n v="79.08"/>
  </r>
  <r>
    <s v="1.2"/>
    <x v="2"/>
    <m/>
    <x v="4"/>
    <s v="договорная цена"/>
    <x v="1"/>
    <n v="1.05"/>
    <n v="39.343499999999999"/>
    <n v="43.6905"/>
    <m/>
    <n v="83.03"/>
  </r>
  <r>
    <s v="1.3"/>
    <x v="2"/>
    <m/>
    <x v="5"/>
    <s v="договорная цена"/>
    <x v="1"/>
    <n v="0.22"/>
    <n v="0.59554000000000007"/>
    <n v="0.91882999999999992"/>
    <m/>
    <n v="1.51"/>
  </r>
  <r>
    <s v="1.4"/>
    <x v="2"/>
    <m/>
    <x v="6"/>
    <s v="договорная цена"/>
    <x v="2"/>
    <n v="30"/>
    <n v="1041.5999999999999"/>
    <n v="1122.9000000000001"/>
    <m/>
    <n v="2164.5"/>
  </r>
  <r>
    <s v="1.5"/>
    <x v="2"/>
    <m/>
    <x v="7"/>
    <s v="договорная цена"/>
    <x v="3"/>
    <n v="1.1000000000000001"/>
    <n v="59.554000000000016"/>
    <n v="88.207680000000011"/>
    <m/>
    <n v="147.76"/>
  </r>
  <r>
    <s v="2"/>
    <x v="0"/>
    <s v="0.1.4.3.2.1"/>
    <x v="8"/>
    <m/>
    <x v="0"/>
    <m/>
    <m/>
    <m/>
    <m/>
    <m/>
  </r>
  <r>
    <s v="2.1"/>
    <x v="1"/>
    <s v="0.1.4.3.2.1"/>
    <x v="9"/>
    <s v="договорная цена"/>
    <x v="3"/>
    <n v="1"/>
    <n v="74.319999999999993"/>
    <n v="294.70999999999998"/>
    <m/>
    <n v="369.03"/>
  </r>
  <r>
    <s v="2.2"/>
    <x v="2"/>
    <m/>
    <x v="10"/>
    <s v="договорная цена"/>
    <x v="4"/>
    <s v="3"/>
    <n v="223"/>
    <n v="884"/>
    <m/>
    <n v="1107"/>
  </r>
  <r>
    <s v="2.3"/>
    <x v="2"/>
    <m/>
    <x v="5"/>
    <s v="договорная цена"/>
    <x v="1"/>
    <s v="0,02"/>
    <n v="0.2172"/>
    <n v="1.002"/>
    <m/>
    <n v="1.22"/>
  </r>
  <r>
    <s v="2.4"/>
    <x v="2"/>
    <m/>
    <x v="11"/>
    <s v="договорная цена"/>
    <x v="2"/>
    <s v="2"/>
    <n v="126.91999999999999"/>
    <n v="489.41999999999996"/>
    <m/>
    <n v="616.34"/>
  </r>
  <r>
    <s v="2.5"/>
    <x v="2"/>
    <m/>
    <x v="7"/>
    <s v="договорная цена"/>
    <x v="3"/>
    <s v="1,1"/>
    <n v="5.7340800000000005"/>
    <n v="17.853000000000002"/>
    <m/>
    <n v="23.59"/>
  </r>
  <r>
    <m/>
    <x v="0"/>
    <m/>
    <x v="12"/>
    <m/>
    <x v="0"/>
    <m/>
    <m/>
    <m/>
    <m/>
    <m/>
  </r>
  <r>
    <s v="3"/>
    <x v="0"/>
    <s v="0.1.4.3.2.1"/>
    <x v="13"/>
    <m/>
    <x v="0"/>
    <m/>
    <m/>
    <m/>
    <m/>
    <m/>
  </r>
  <r>
    <s v="3.1"/>
    <x v="1"/>
    <s v="0.1.4.3.2.1"/>
    <x v="3"/>
    <s v="договорная цена"/>
    <x v="1"/>
    <n v="1"/>
    <m/>
    <m/>
    <n v="4.99"/>
    <n v="4.99"/>
  </r>
  <r>
    <s v="3.2"/>
    <x v="2"/>
    <m/>
    <x v="4"/>
    <s v="договорная цена"/>
    <x v="1"/>
    <n v="1.05"/>
    <m/>
    <m/>
    <n v="5.24"/>
    <n v="5.24"/>
  </r>
  <r>
    <s v="3.3"/>
    <x v="2"/>
    <m/>
    <x v="5"/>
    <s v="договорная цена"/>
    <x v="1"/>
    <n v="0.22"/>
    <m/>
    <m/>
    <n v="9.4160000000000008E-2"/>
    <n v="0.09"/>
  </r>
  <r>
    <s v="3.4"/>
    <x v="2"/>
    <m/>
    <x v="6"/>
    <s v="договорная цена"/>
    <x v="2"/>
    <n v="30"/>
    <m/>
    <m/>
    <n v="136.79999999999998"/>
    <n v="136.80000000000001"/>
  </r>
  <r>
    <s v="3.5"/>
    <x v="2"/>
    <m/>
    <x v="7"/>
    <s v="договорная цена"/>
    <x v="3"/>
    <n v="1.1000000000000001"/>
    <m/>
    <m/>
    <n v="8.2860800000000019"/>
    <n v="8.2899999999999991"/>
  </r>
  <r>
    <s v="4"/>
    <x v="0"/>
    <s v="0.1.4.3.2.1"/>
    <x v="14"/>
    <m/>
    <x v="0"/>
    <m/>
    <m/>
    <m/>
    <m/>
    <m/>
  </r>
  <r>
    <s v="4.1"/>
    <x v="1"/>
    <s v="0.1.4.3.2.1"/>
    <x v="15"/>
    <s v="договорная цена"/>
    <x v="1"/>
    <n v="1"/>
    <m/>
    <m/>
    <n v="0.72"/>
    <n v="0.72"/>
  </r>
  <r>
    <s v="4.2"/>
    <x v="2"/>
    <m/>
    <x v="16"/>
    <s v="договорная цена"/>
    <x v="4"/>
    <n v="400"/>
    <m/>
    <m/>
    <n v="288"/>
    <n v="288"/>
  </r>
  <r>
    <s v="4.3"/>
    <x v="2"/>
    <m/>
    <x v="5"/>
    <s v="договорная цена"/>
    <x v="1"/>
    <n v="0.24"/>
    <m/>
    <m/>
    <n v="0.17279999999999998"/>
    <n v="0.17"/>
  </r>
  <r>
    <s v="4.4"/>
    <x v="2"/>
    <m/>
    <x v="7"/>
    <s v="договорная цена"/>
    <x v="3"/>
    <n v="1.1000000000000001"/>
    <m/>
    <m/>
    <n v="3.7268000000000008"/>
    <n v="3.73"/>
  </r>
  <r>
    <s v="5"/>
    <x v="0"/>
    <s v="0.1.4.3.2.1"/>
    <x v="17"/>
    <m/>
    <x v="0"/>
    <m/>
    <m/>
    <m/>
    <m/>
    <m/>
  </r>
  <r>
    <s v="5.1"/>
    <x v="1"/>
    <s v="0.1.4.3.2.1"/>
    <x v="9"/>
    <s v="договорная цена"/>
    <x v="3"/>
    <m/>
    <m/>
    <m/>
    <n v="24.93"/>
    <n v="24.93"/>
  </r>
  <r>
    <s v="5.2"/>
    <x v="2"/>
    <m/>
    <x v="10"/>
    <s v="договорная цена"/>
    <x v="4"/>
    <s v="3"/>
    <m/>
    <m/>
    <n v="74.789999999999992"/>
    <n v="75"/>
  </r>
  <r>
    <s v="5.3"/>
    <x v="2"/>
    <m/>
    <x v="5"/>
    <s v="договорная цена"/>
    <x v="1"/>
    <s v="0,02"/>
    <m/>
    <m/>
    <n v="1.9728000000000002E-2"/>
    <n v="0.02"/>
  </r>
  <r>
    <s v="5.4"/>
    <x v="2"/>
    <m/>
    <x v="11"/>
    <s v="договорная цена"/>
    <x v="2"/>
    <s v="2"/>
    <m/>
    <m/>
    <n v="47.9"/>
    <n v="47.9"/>
  </r>
  <r>
    <s v="5.5"/>
    <x v="2"/>
    <m/>
    <x v="7"/>
    <s v="договорная цена"/>
    <x v="3"/>
    <s v="1,1"/>
    <m/>
    <m/>
    <n v="4.7741760000000006"/>
    <n v="4.7699999999999996"/>
  </r>
  <r>
    <s v="6"/>
    <x v="0"/>
    <m/>
    <x v="18"/>
    <m/>
    <x v="0"/>
    <m/>
    <m/>
    <m/>
    <m/>
    <m/>
  </r>
  <r>
    <s v="6.1"/>
    <x v="1"/>
    <s v="0.1.4.3.2.1"/>
    <x v="19"/>
    <s v="договорная цена"/>
    <x v="4"/>
    <n v="1"/>
    <m/>
    <m/>
    <n v="8"/>
    <n v="8"/>
  </r>
  <r>
    <s v="6.2"/>
    <x v="2"/>
    <s v="ПР-2"/>
    <x v="5"/>
    <s v="договорная цена"/>
    <x v="1"/>
    <n v="1"/>
    <m/>
    <m/>
    <n v="2E-3"/>
    <n v="2E-3"/>
  </r>
  <r>
    <s v="6.3"/>
    <x v="2"/>
    <s v="ПР-4"/>
    <x v="5"/>
    <s v="договорная цена"/>
    <x v="1"/>
    <n v="1"/>
    <m/>
    <m/>
    <n v="4.7999999999999996E-3"/>
    <n v="5.0000000000000001E-3"/>
  </r>
  <r>
    <s v="6.4"/>
    <x v="2"/>
    <s v="ПР5"/>
    <x v="5"/>
    <s v="договорная цена"/>
    <x v="1"/>
    <n v="1"/>
    <m/>
    <m/>
    <n v="1.0400000000000001E-2"/>
    <n v="0.01"/>
  </r>
  <r>
    <s v="6.5"/>
    <x v="2"/>
    <m/>
    <x v="20"/>
    <s v="договорная цена"/>
    <x v="5"/>
    <n v="1.04"/>
    <m/>
    <m/>
    <n v="2.7768000000000003E-3"/>
    <n v="3.0000000000000001E-3"/>
  </r>
  <r>
    <s v="6.6"/>
    <x v="2"/>
    <m/>
    <x v="20"/>
    <s v="договорная цена"/>
    <x v="5"/>
    <n v="1.04"/>
    <m/>
    <m/>
    <n v="6.6643199999999996E-3"/>
    <n v="0.01"/>
  </r>
  <r>
    <s v="6.7"/>
    <x v="2"/>
    <m/>
    <x v="20"/>
    <s v="договорная цена"/>
    <x v="5"/>
    <n v="1.04"/>
    <m/>
    <m/>
    <n v="1.4439360000000002E-2"/>
    <n v="0.01"/>
  </r>
  <r>
    <s v="6.8"/>
    <x v="2"/>
    <m/>
    <x v="21"/>
    <s v="договорная цена"/>
    <x v="6"/>
    <n v="1"/>
    <m/>
    <m/>
    <n v="1"/>
    <n v="1"/>
  </r>
  <r>
    <s v="7"/>
    <x v="1"/>
    <s v="0.1.4.3.2.1"/>
    <x v="22"/>
    <s v="договорная цена"/>
    <x v="4"/>
    <n v="1"/>
    <n v="30"/>
    <n v="55"/>
    <m/>
    <n v="85"/>
  </r>
  <r>
    <s v="7.1"/>
    <x v="2"/>
    <m/>
    <x v="5"/>
    <s v="договорная цена"/>
    <x v="1"/>
    <n v="1.04"/>
    <n v="0.16"/>
    <n v="0.16"/>
    <m/>
    <n v="0.32"/>
  </r>
  <r>
    <s v="7.2"/>
    <x v="2"/>
    <m/>
    <x v="20"/>
    <s v="договорная цена"/>
    <x v="5"/>
    <n v="1.04"/>
    <n v="0.14399999999999999"/>
    <n v="0.18"/>
    <m/>
    <n v="0.32"/>
  </r>
  <r>
    <s v="7.3"/>
    <x v="2"/>
    <s v="ПР-17"/>
    <x v="23"/>
    <s v="договорная цена"/>
    <x v="4"/>
    <n v="1"/>
    <n v="3"/>
    <n v="8"/>
    <m/>
    <n v="11"/>
  </r>
  <r>
    <s v="7.4"/>
    <x v="2"/>
    <s v="ПР-19"/>
    <x v="24"/>
    <s v="договорная цена"/>
    <x v="4"/>
    <n v="1"/>
    <n v="1"/>
    <n v="1"/>
    <m/>
    <n v="2"/>
  </r>
  <r>
    <s v="7.5"/>
    <x v="2"/>
    <m/>
    <x v="25"/>
    <s v="договорная цена"/>
    <x v="5"/>
    <n v="1"/>
    <n v="2E-3"/>
    <n v="0"/>
    <m/>
    <n v="2E-3"/>
  </r>
  <r>
    <m/>
    <x v="0"/>
    <m/>
    <x v="26"/>
    <m/>
    <x v="0"/>
    <m/>
    <m/>
    <m/>
    <m/>
    <m/>
  </r>
  <r>
    <s v="8"/>
    <x v="0"/>
    <s v="0.1.4.3.2.1"/>
    <x v="27"/>
    <m/>
    <x v="0"/>
    <m/>
    <m/>
    <m/>
    <m/>
    <m/>
  </r>
  <r>
    <s v="8.1"/>
    <x v="1"/>
    <s v="0.1.4.3.2.1"/>
    <x v="28"/>
    <s v="договорная цена"/>
    <x v="1"/>
    <n v="1"/>
    <n v="954.37"/>
    <n v="342.02"/>
    <m/>
    <n v="1296.3900000000001"/>
  </r>
  <r>
    <s v="8.2"/>
    <x v="2"/>
    <m/>
    <x v="4"/>
    <s v="договорная цена"/>
    <x v="1"/>
    <n v="1.05"/>
    <n v="1002.09"/>
    <n v="359.12099999999998"/>
    <m/>
    <n v="1361.21"/>
  </r>
  <r>
    <s v="8.3"/>
    <x v="2"/>
    <m/>
    <x v="5"/>
    <s v="договорная цена"/>
    <x v="1"/>
    <n v="0.22"/>
    <n v="17.600000000000001"/>
    <n v="6.38"/>
    <m/>
    <n v="23.98"/>
  </r>
  <r>
    <s v="8.4"/>
    <x v="2"/>
    <m/>
    <x v="6"/>
    <s v="договорная цена"/>
    <x v="2"/>
    <n v="30"/>
    <n v="26231.1"/>
    <n v="9390.5999999999985"/>
    <m/>
    <n v="35621.699999999997"/>
  </r>
  <r>
    <s v="8.5"/>
    <x v="2"/>
    <m/>
    <x v="7"/>
    <s v="договорная цена"/>
    <x v="3"/>
    <n v="1.1000000000000001"/>
    <n v="1272.5"/>
    <n v="410.4"/>
    <m/>
    <n v="1682.9"/>
  </r>
  <r>
    <s v="9"/>
    <x v="0"/>
    <s v="0.1.4.3.2.1"/>
    <x v="29"/>
    <m/>
    <x v="0"/>
    <m/>
    <m/>
    <m/>
    <m/>
    <m/>
  </r>
  <r>
    <m/>
    <x v="1"/>
    <s v="0.1.4.3.2.1"/>
    <x v="3"/>
    <s v="договорная цена"/>
    <x v="1"/>
    <n v="1"/>
    <n v="1450.6000000000001"/>
    <n v="567"/>
    <m/>
    <n v="2017.6"/>
  </r>
  <r>
    <m/>
    <x v="2"/>
    <m/>
    <x v="4"/>
    <s v="договорная цена"/>
    <x v="1"/>
    <n v="1.05"/>
    <n v="1523.13"/>
    <n v="595.35"/>
    <m/>
    <n v="2118.48"/>
  </r>
  <r>
    <m/>
    <x v="2"/>
    <m/>
    <x v="5"/>
    <s v="договорная цена"/>
    <x v="1"/>
    <n v="0.22"/>
    <n v="26.598000000000003"/>
    <n v="10.395"/>
    <m/>
    <n v="36.993000000000002"/>
  </r>
  <r>
    <m/>
    <x v="2"/>
    <m/>
    <x v="6"/>
    <s v="договорная цена"/>
    <x v="2"/>
    <n v="30"/>
    <n v="39918.000000000007"/>
    <n v="15600"/>
    <m/>
    <n v="55518"/>
  </r>
  <r>
    <m/>
    <x v="2"/>
    <m/>
    <x v="7"/>
    <s v="договорная цена"/>
    <x v="3"/>
    <n v="1.1000000000000001"/>
    <n v="1934"/>
    <n v="756"/>
    <m/>
    <n v="2690"/>
  </r>
  <r>
    <m/>
    <x v="0"/>
    <s v="0.1.4.3.2.1"/>
    <x v="30"/>
    <m/>
    <x v="0"/>
    <m/>
    <m/>
    <m/>
    <m/>
    <m/>
  </r>
  <r>
    <m/>
    <x v="1"/>
    <s v="0.1.4.3.2.1"/>
    <x v="15"/>
    <s v="договорная цена"/>
    <x v="1"/>
    <n v="1"/>
    <n v="1.93"/>
    <n v="3.48"/>
    <m/>
    <n v="5.41"/>
  </r>
  <r>
    <m/>
    <x v="2"/>
    <m/>
    <x v="16"/>
    <s v="договорная цена"/>
    <x v="4"/>
    <n v="400"/>
    <n v="772"/>
    <n v="1392"/>
    <m/>
    <n v="2164"/>
  </r>
  <r>
    <m/>
    <x v="2"/>
    <m/>
    <x v="5"/>
    <s v="договорная цена"/>
    <x v="1"/>
    <n v="0.24"/>
    <n v="0.46319999999999995"/>
    <n v="0.83519999999999994"/>
    <m/>
    <n v="1.298"/>
  </r>
  <r>
    <m/>
    <x v="2"/>
    <m/>
    <x v="7"/>
    <s v="договорная цена"/>
    <x v="3"/>
    <n v="1.1000000000000001"/>
    <n v="11"/>
    <n v="20"/>
    <m/>
    <n v="31"/>
  </r>
  <r>
    <m/>
    <x v="0"/>
    <s v="0.1.4.3.2.1"/>
    <x v="31"/>
    <m/>
    <x v="0"/>
    <m/>
    <m/>
    <m/>
    <m/>
    <m/>
  </r>
  <r>
    <m/>
    <x v="1"/>
    <s v="0.1.4.3.2.1"/>
    <x v="9"/>
    <s v="договорная цена"/>
    <x v="3"/>
    <n v="1"/>
    <n v="8412.92"/>
    <n v="3194.01"/>
    <m/>
    <n v="11606.93"/>
  </r>
  <r>
    <m/>
    <x v="2"/>
    <m/>
    <x v="10"/>
    <s v="договорная цена"/>
    <x v="4"/>
    <s v="3"/>
    <n v="25239"/>
    <n v="9582"/>
    <m/>
    <n v="34821"/>
  </r>
  <r>
    <m/>
    <x v="2"/>
    <m/>
    <x v="5"/>
    <s v="договорная цена"/>
    <x v="1"/>
    <s v="0,02"/>
    <n v="28.04"/>
    <n v="10.648"/>
    <m/>
    <n v="38.688000000000002"/>
  </r>
  <r>
    <m/>
    <x v="2"/>
    <m/>
    <x v="11"/>
    <s v="договорная цена"/>
    <x v="2"/>
    <s v="2"/>
    <n v="14021.84"/>
    <n v="5323.22"/>
    <m/>
    <n v="19345.060000000001"/>
  </r>
  <r>
    <m/>
    <x v="2"/>
    <m/>
    <x v="7"/>
    <s v="договорная цена"/>
    <x v="3"/>
    <s v="1,1"/>
    <n v="449"/>
    <n v="170.4"/>
    <m/>
    <n v="619.4"/>
  </r>
  <r>
    <m/>
    <x v="0"/>
    <s v="0.1.4.3.2.1"/>
    <x v="32"/>
    <m/>
    <x v="0"/>
    <m/>
    <m/>
    <m/>
    <m/>
    <m/>
  </r>
  <r>
    <m/>
    <x v="1"/>
    <s v="0.1.4.3.2.1"/>
    <x v="33"/>
    <s v="договорная цена"/>
    <x v="3"/>
    <n v="1"/>
    <n v="77.430000000000007"/>
    <n v="55.72"/>
    <m/>
    <n v="133.15"/>
  </r>
  <r>
    <m/>
    <x v="2"/>
    <m/>
    <x v="16"/>
    <s v="договорная цена"/>
    <x v="4"/>
    <n v="51"/>
    <n v="3949"/>
    <n v="2841.72"/>
    <m/>
    <n v="6790.72"/>
  </r>
  <r>
    <m/>
    <x v="2"/>
    <m/>
    <x v="5"/>
    <s v="договорная цена"/>
    <x v="1"/>
    <n v="0.02"/>
    <n v="1.5486000000000002"/>
    <n v="1.1144000000000001"/>
    <m/>
    <n v="2.6629999999999998"/>
  </r>
  <r>
    <m/>
    <x v="2"/>
    <m/>
    <x v="7"/>
    <s v="договорная цена"/>
    <x v="3"/>
    <n v="1.1000000000000001"/>
    <n v="49"/>
    <n v="34"/>
    <m/>
    <n v="83"/>
  </r>
  <r>
    <m/>
    <x v="1"/>
    <s v="0.1.4.3.2.1"/>
    <x v="34"/>
    <s v="договорная цена"/>
    <x v="4"/>
    <n v="1"/>
    <n v="5"/>
    <n v="7"/>
    <m/>
    <n v="12"/>
  </r>
  <r>
    <m/>
    <x v="2"/>
    <m/>
    <x v="35"/>
    <s v="договорная цена"/>
    <x v="4"/>
    <n v="1"/>
    <n v="1"/>
    <m/>
    <m/>
    <n v="1"/>
  </r>
  <r>
    <m/>
    <x v="2"/>
    <m/>
    <x v="36"/>
    <s v="договорная цена"/>
    <x v="4"/>
    <n v="1"/>
    <m/>
    <n v="2"/>
    <m/>
    <n v="2"/>
  </r>
  <r>
    <m/>
    <x v="2"/>
    <m/>
    <x v="37"/>
    <s v="договорная цена"/>
    <x v="4"/>
    <n v="1"/>
    <m/>
    <n v="1"/>
    <m/>
    <n v="1"/>
  </r>
  <r>
    <m/>
    <x v="2"/>
    <m/>
    <x v="38"/>
    <s v="договорная цена"/>
    <x v="4"/>
    <n v="1"/>
    <m/>
    <n v="2"/>
    <m/>
    <n v="2"/>
  </r>
  <r>
    <m/>
    <x v="2"/>
    <m/>
    <x v="5"/>
    <s v="договорная цена"/>
    <x v="1"/>
    <n v="1"/>
    <n v="0.20100000000000001"/>
    <m/>
    <m/>
    <n v="0.20100000000000001"/>
  </r>
  <r>
    <m/>
    <x v="2"/>
    <m/>
    <x v="20"/>
    <s v="договорная цена"/>
    <x v="5"/>
    <n v="1.04"/>
    <n v="3.5360000000000003E-2"/>
    <m/>
    <m/>
    <n v="0.04"/>
  </r>
  <r>
    <m/>
    <x v="1"/>
    <s v="0.1.4.3.2.1"/>
    <x v="39"/>
    <s v="договорная цена"/>
    <x v="4"/>
    <n v="1"/>
    <n v="1278"/>
    <m/>
    <m/>
    <n v="1278"/>
  </r>
  <r>
    <m/>
    <x v="2"/>
    <m/>
    <x v="40"/>
    <s v="договорная цена"/>
    <x v="4"/>
    <n v="1"/>
    <n v="251"/>
    <m/>
    <m/>
    <n v="251"/>
  </r>
  <r>
    <m/>
    <x v="2"/>
    <m/>
    <x v="41"/>
    <s v="договорная цена"/>
    <x v="4"/>
    <n v="1"/>
    <n v="54"/>
    <m/>
    <m/>
    <n v="54"/>
  </r>
  <r>
    <m/>
    <x v="2"/>
    <m/>
    <x v="42"/>
    <s v="договорная цена"/>
    <x v="4"/>
    <n v="1"/>
    <n v="15"/>
    <m/>
    <m/>
    <n v="15"/>
  </r>
  <r>
    <m/>
    <x v="2"/>
    <m/>
    <x v="43"/>
    <s v="договорная цена"/>
    <x v="4"/>
    <n v="1"/>
    <n v="17"/>
    <m/>
    <m/>
    <n v="17"/>
  </r>
  <r>
    <m/>
    <x v="2"/>
    <m/>
    <x v="25"/>
    <s v="договорная цена"/>
    <x v="5"/>
    <n v="1.04"/>
    <n v="3.952E-2"/>
    <m/>
    <m/>
    <n v="0.04"/>
  </r>
  <r>
    <m/>
    <x v="0"/>
    <m/>
    <x v="44"/>
    <s v="договорная цена"/>
    <x v="5"/>
    <n v="1.04"/>
    <n v="1.2480000000000002E-2"/>
    <m/>
    <m/>
    <n v="0.01"/>
  </r>
  <r>
    <m/>
    <x v="2"/>
    <m/>
    <x v="5"/>
    <s v="договорная цена"/>
    <x v="1"/>
    <n v="1"/>
    <n v="2.42"/>
    <m/>
    <m/>
    <n v="2.42"/>
  </r>
  <r>
    <m/>
    <x v="2"/>
    <m/>
    <x v="20"/>
    <s v="договорная цена"/>
    <x v="5"/>
    <n v="1.04"/>
    <n v="3.2208800000000002"/>
    <m/>
    <m/>
    <n v="3.22"/>
  </r>
  <r>
    <m/>
    <x v="0"/>
    <m/>
    <x v="45"/>
    <s v="договорная цена"/>
    <x v="0"/>
    <m/>
    <m/>
    <m/>
    <m/>
    <m/>
  </r>
  <r>
    <m/>
    <x v="1"/>
    <s v="0.1.4.2.2.4.8"/>
    <x v="46"/>
    <s v="договорная цена"/>
    <x v="3"/>
    <m/>
    <n v="12"/>
    <m/>
    <m/>
    <n v="12"/>
  </r>
  <r>
    <m/>
    <x v="2"/>
    <m/>
    <x v="47"/>
    <s v="договорная цена"/>
    <x v="3"/>
    <n v="1"/>
    <n v="12"/>
    <m/>
    <m/>
    <n v="12"/>
  </r>
  <r>
    <m/>
    <x v="2"/>
    <m/>
    <x v="48"/>
    <s v="договорная цена"/>
    <x v="3"/>
    <n v="1.05"/>
    <n v="12.600000000000001"/>
    <m/>
    <m/>
    <n v="12.6"/>
  </r>
  <r>
    <m/>
    <x v="3"/>
    <s v="0.1.4.9"/>
    <x v="49"/>
    <s v="договорная цена"/>
    <x v="7"/>
    <m/>
    <n v="552"/>
    <m/>
    <m/>
    <n v="552"/>
  </r>
  <r>
    <m/>
    <x v="0"/>
    <m/>
    <x v="50"/>
    <s v="договорная цена"/>
    <x v="7"/>
    <m/>
    <n v="180"/>
    <m/>
    <m/>
    <n v="180"/>
  </r>
  <r>
    <m/>
    <x v="0"/>
    <m/>
    <x v="51"/>
    <s v="договорная цена"/>
    <x v="7"/>
    <m/>
    <n v="372"/>
    <m/>
    <m/>
    <n v="372"/>
  </r>
  <r>
    <m/>
    <x v="4"/>
    <s v="0.1.4.8"/>
    <x v="52"/>
    <s v="договорная цена"/>
    <x v="8"/>
    <m/>
    <n v="2"/>
    <m/>
    <m/>
    <n v="2"/>
  </r>
  <r>
    <m/>
    <x v="0"/>
    <m/>
    <x v="53"/>
    <s v="договорная цена"/>
    <x v="8"/>
    <m/>
    <n v="2"/>
    <m/>
    <m/>
    <n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DB0B9DD-D137-4049-82D5-B4E62F2ED2DC}" name="Сводная таблица4" cacheId="0" applyNumberFormats="0" applyBorderFormats="0" applyFontFormats="0" applyPatternFormats="0" applyAlignmentFormats="0" applyWidthHeightFormats="1" dataCaption="Значения" updatedVersion="7" minRefreshableVersion="3" useAutoFormatting="1" itemPrintTitles="1" createdVersion="7" indent="0" compact="0" compactData="0" gridDropZones="1" multipleFieldFilters="0" fieldListSortAscending="1">
  <location ref="A3:C39" firstHeaderRow="2" firstDataRow="2" firstDataCol="2" rowPageCount="1" colPageCount="1"/>
  <pivotFields count="11">
    <pivotField compact="0" outline="0" showAll="0"/>
    <pivotField axis="axisPage" compact="0" outline="0" multipleItemSelectionAllowed="1" showAll="0">
      <items count="6">
        <item x="4"/>
        <item x="2"/>
        <item x="1"/>
        <item x="3"/>
        <item h="1" x="0"/>
        <item t="default"/>
      </items>
    </pivotField>
    <pivotField compact="0" outline="0" showAll="0"/>
    <pivotField axis="axisRow" compact="0" outline="0" showAll="0" defaultSubtotal="0">
      <items count="86">
        <item x="31"/>
        <item x="8"/>
        <item x="17"/>
        <item m="1" x="57"/>
        <item m="1" x="63"/>
        <item m="1" x="58"/>
        <item m="1" x="76"/>
        <item m="1" x="62"/>
        <item m="1" x="61"/>
        <item x="45"/>
        <item m="1" x="73"/>
        <item x="1"/>
        <item m="1" x="64"/>
        <item m="1" x="66"/>
        <item m="1" x="72"/>
        <item m="1" x="77"/>
        <item x="47"/>
        <item m="1" x="79"/>
        <item x="34"/>
        <item x="39"/>
        <item x="18"/>
        <item x="19"/>
        <item x="22"/>
        <item m="1" x="83"/>
        <item x="48"/>
        <item x="12"/>
        <item m="1" x="55"/>
        <item m="1" x="80"/>
        <item m="1" x="81"/>
        <item m="1" x="67"/>
        <item x="21"/>
        <item m="1" x="82"/>
        <item x="23"/>
        <item x="24"/>
        <item m="1" x="59"/>
        <item m="1" x="56"/>
        <item m="1" x="85"/>
        <item x="7"/>
        <item m="1" x="69"/>
        <item m="1" x="60"/>
        <item m="1" x="54"/>
        <item x="49"/>
        <item x="52"/>
        <item m="1" x="78"/>
        <item x="32"/>
        <item x="26"/>
        <item x="0"/>
        <item x="30"/>
        <item x="14"/>
        <item x="29"/>
        <item x="13"/>
        <item x="2"/>
        <item m="1" x="74"/>
        <item x="3"/>
        <item x="27"/>
        <item x="28"/>
        <item x="9"/>
        <item x="33"/>
        <item x="15"/>
        <item m="1" x="75"/>
        <item m="1" x="65"/>
        <item x="36"/>
        <item x="37"/>
        <item x="38"/>
        <item x="40"/>
        <item x="41"/>
        <item x="42"/>
        <item x="43"/>
        <item x="25"/>
        <item m="1" x="71"/>
        <item x="53"/>
        <item x="46"/>
        <item m="1" x="68"/>
        <item x="20"/>
        <item x="11"/>
        <item x="5"/>
        <item x="16"/>
        <item x="44"/>
        <item x="10"/>
        <item x="35"/>
        <item x="4"/>
        <item x="6"/>
        <item m="1" x="84"/>
        <item m="1" x="70"/>
        <item x="50"/>
        <item x="51"/>
      </items>
    </pivotField>
    <pivotField compact="0" outline="0" showAll="0"/>
    <pivotField axis="axisRow" compact="0" outline="0" showAll="0">
      <items count="11">
        <item x="2"/>
        <item x="3"/>
        <item x="1"/>
        <item x="8"/>
        <item x="5"/>
        <item m="1" x="9"/>
        <item x="6"/>
        <item x="4"/>
        <item x="0"/>
        <item x="7"/>
        <item t="default"/>
      </items>
    </pivotField>
    <pivotField compact="0" outline="0" showAll="0"/>
    <pivotField compact="0" outline="0" showAll="0"/>
    <pivotField compact="0" outline="0" showAll="0"/>
    <pivotField compact="0" outline="0" showAll="0"/>
    <pivotField dataField="1" compact="0" outline="0" showAll="0"/>
  </pivotFields>
  <rowFields count="2">
    <field x="3"/>
    <field x="5"/>
  </rowFields>
  <rowItems count="35">
    <i>
      <x v="16"/>
      <x v="1"/>
    </i>
    <i>
      <x v="18"/>
      <x v="7"/>
    </i>
    <i>
      <x v="19"/>
      <x v="7"/>
    </i>
    <i>
      <x v="21"/>
      <x v="7"/>
    </i>
    <i>
      <x v="22"/>
      <x v="7"/>
    </i>
    <i>
      <x v="24"/>
      <x v="1"/>
    </i>
    <i>
      <x v="30"/>
      <x v="6"/>
    </i>
    <i>
      <x v="32"/>
      <x v="7"/>
    </i>
    <i>
      <x v="33"/>
      <x v="7"/>
    </i>
    <i>
      <x v="37"/>
      <x v="1"/>
    </i>
    <i>
      <x v="41"/>
      <x v="9"/>
    </i>
    <i>
      <x v="42"/>
      <x v="3"/>
    </i>
    <i>
      <x v="53"/>
      <x v="2"/>
    </i>
    <i>
      <x v="55"/>
      <x v="2"/>
    </i>
    <i>
      <x v="56"/>
      <x v="1"/>
    </i>
    <i>
      <x v="57"/>
      <x v="1"/>
    </i>
    <i>
      <x v="58"/>
      <x v="2"/>
    </i>
    <i>
      <x v="61"/>
      <x v="7"/>
    </i>
    <i>
      <x v="62"/>
      <x v="7"/>
    </i>
    <i>
      <x v="63"/>
      <x v="7"/>
    </i>
    <i>
      <x v="64"/>
      <x v="7"/>
    </i>
    <i>
      <x v="65"/>
      <x v="7"/>
    </i>
    <i>
      <x v="66"/>
      <x v="7"/>
    </i>
    <i>
      <x v="67"/>
      <x v="7"/>
    </i>
    <i>
      <x v="68"/>
      <x v="4"/>
    </i>
    <i>
      <x v="71"/>
      <x v="1"/>
    </i>
    <i>
      <x v="73"/>
      <x v="4"/>
    </i>
    <i>
      <x v="74"/>
      <x/>
    </i>
    <i>
      <x v="75"/>
      <x v="2"/>
    </i>
    <i>
      <x v="76"/>
      <x v="7"/>
    </i>
    <i>
      <x v="78"/>
      <x v="7"/>
    </i>
    <i>
      <x v="79"/>
      <x v="7"/>
    </i>
    <i>
      <x v="80"/>
      <x v="2"/>
    </i>
    <i>
      <x v="81"/>
      <x/>
    </i>
    <i t="grand">
      <x/>
    </i>
  </rowItems>
  <colItems count="1">
    <i/>
  </colItems>
  <pageFields count="1">
    <pageField fld="1" hier="-1"/>
  </pageFields>
  <dataFields count="1">
    <dataField name="Сумма по полю Всего кол-во" fld="10"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289BE-D1F9-44EE-97E8-433DDF30AFE5}">
  <sheetPr codeName="Лист1"/>
  <dimension ref="A1:AC167"/>
  <sheetViews>
    <sheetView tabSelected="1" view="pageBreakPreview" topLeftCell="B1" zoomScale="85" zoomScaleNormal="100" zoomScaleSheetLayoutView="85" workbookViewId="0">
      <pane ySplit="10" topLeftCell="A47" activePane="bottomLeft" state="frozen"/>
      <selection activeCell="D1" sqref="D1"/>
      <selection pane="bottomLeft" activeCell="M18" sqref="M18"/>
    </sheetView>
  </sheetViews>
  <sheetFormatPr defaultColWidth="14.42578125" defaultRowHeight="15" outlineLevelRow="1" outlineLevelCol="1" x14ac:dyDescent="0.25"/>
  <cols>
    <col min="1" max="1" width="11" style="104" customWidth="1"/>
    <col min="2" max="2" width="7.7109375" style="104" customWidth="1"/>
    <col min="3" max="3" width="15.140625" style="102" customWidth="1"/>
    <col min="4" max="4" width="70.140625" style="105" customWidth="1"/>
    <col min="5" max="5" width="20.7109375" style="105" bestFit="1" customWidth="1"/>
    <col min="6" max="6" width="9" style="105" customWidth="1"/>
    <col min="7" max="7" width="8.5703125" style="105" customWidth="1"/>
    <col min="8" max="8" width="12.7109375" style="105" hidden="1" customWidth="1" outlineLevel="1"/>
    <col min="9" max="9" width="13" style="105" hidden="1" customWidth="1" outlineLevel="1"/>
    <col min="10" max="10" width="12.5703125" style="105" hidden="1" customWidth="1" outlineLevel="1"/>
    <col min="11" max="11" width="13.42578125" style="105" customWidth="1" collapsed="1"/>
    <col min="12" max="12" width="14.7109375" style="105" customWidth="1"/>
    <col min="13" max="13" width="11.85546875" style="105" bestFit="1" customWidth="1"/>
    <col min="14" max="14" width="15.85546875" style="105" bestFit="1" customWidth="1"/>
    <col min="15" max="15" width="16.5703125" style="105" customWidth="1"/>
    <col min="16" max="16" width="15.85546875" style="105" customWidth="1"/>
    <col min="17" max="17" width="17.5703125" style="105" customWidth="1"/>
    <col min="18" max="18" width="64.28515625" style="239" customWidth="1"/>
    <col min="19" max="19" width="14.85546875" style="225" customWidth="1"/>
    <col min="20" max="20" width="12" style="225" customWidth="1"/>
    <col min="21" max="21" width="12" style="105" customWidth="1"/>
    <col min="22" max="29" width="8.7109375" style="105" customWidth="1"/>
    <col min="30" max="16384" width="14.42578125" style="105"/>
  </cols>
  <sheetData>
    <row r="1" spans="1:29" s="212" customFormat="1" ht="15.75" hidden="1" outlineLevel="1" x14ac:dyDescent="0.25">
      <c r="A1" s="208"/>
      <c r="B1" s="208"/>
      <c r="C1" s="17"/>
      <c r="D1" s="209"/>
      <c r="E1" s="210"/>
      <c r="F1" s="210"/>
      <c r="G1" s="209"/>
      <c r="H1" s="209"/>
      <c r="I1" s="209"/>
      <c r="J1" s="209"/>
      <c r="K1" s="211"/>
      <c r="L1" s="18"/>
      <c r="M1" s="19"/>
      <c r="N1" s="19"/>
      <c r="O1" s="20"/>
      <c r="P1" s="20"/>
      <c r="Q1" s="21" t="s">
        <v>13</v>
      </c>
      <c r="R1" s="146"/>
      <c r="S1" s="147"/>
      <c r="T1" s="147"/>
      <c r="U1" s="22"/>
      <c r="V1" s="22"/>
      <c r="W1" s="22"/>
      <c r="X1" s="22"/>
      <c r="Y1" s="23"/>
      <c r="Z1" s="23"/>
      <c r="AA1" s="23"/>
      <c r="AB1" s="23"/>
      <c r="AC1" s="23"/>
    </row>
    <row r="2" spans="1:29" s="212" customFormat="1" ht="15.75" hidden="1" outlineLevel="1" x14ac:dyDescent="0.25">
      <c r="A2" s="208"/>
      <c r="B2" s="208"/>
      <c r="C2" s="17"/>
      <c r="D2" s="209"/>
      <c r="E2" s="210"/>
      <c r="F2" s="210"/>
      <c r="G2" s="209"/>
      <c r="H2" s="209"/>
      <c r="I2" s="209"/>
      <c r="J2" s="209"/>
      <c r="K2" s="211"/>
      <c r="L2" s="18"/>
      <c r="M2" s="19"/>
      <c r="N2" s="19"/>
      <c r="O2" s="20"/>
      <c r="P2" s="20"/>
      <c r="Q2" s="21" t="s">
        <v>14</v>
      </c>
      <c r="R2" s="146"/>
      <c r="S2" s="147"/>
      <c r="T2" s="147"/>
      <c r="U2" s="22"/>
      <c r="V2" s="22"/>
      <c r="W2" s="22"/>
      <c r="X2" s="22"/>
      <c r="Y2" s="23"/>
      <c r="Z2" s="23"/>
      <c r="AA2" s="23"/>
      <c r="AB2" s="23"/>
      <c r="AC2" s="23"/>
    </row>
    <row r="3" spans="1:29" ht="12.75" hidden="1" customHeight="1" outlineLevel="1" x14ac:dyDescent="0.25">
      <c r="A3" s="213"/>
      <c r="B3" s="213"/>
      <c r="C3" s="24"/>
      <c r="D3" s="214"/>
      <c r="E3" s="215"/>
      <c r="F3" s="215"/>
      <c r="G3" s="214"/>
      <c r="H3" s="214"/>
      <c r="I3" s="214"/>
      <c r="J3" s="214"/>
      <c r="K3" s="216"/>
      <c r="L3" s="18"/>
      <c r="M3" s="25"/>
      <c r="N3" s="25"/>
      <c r="O3" s="26"/>
      <c r="P3" s="26"/>
      <c r="Q3" s="27"/>
      <c r="R3" s="146"/>
      <c r="S3" s="147"/>
      <c r="T3" s="147"/>
      <c r="U3" s="22"/>
      <c r="V3" s="22"/>
      <c r="W3" s="22"/>
      <c r="X3" s="22"/>
      <c r="Y3" s="23"/>
      <c r="Z3" s="23"/>
      <c r="AA3" s="23"/>
      <c r="AB3" s="23"/>
      <c r="AC3" s="23"/>
    </row>
    <row r="4" spans="1:29" ht="21" hidden="1" customHeight="1" outlineLevel="1" x14ac:dyDescent="0.25">
      <c r="A4" s="473" t="s">
        <v>0</v>
      </c>
      <c r="B4" s="473"/>
      <c r="C4" s="473"/>
      <c r="D4" s="473"/>
      <c r="E4" s="473"/>
      <c r="F4" s="473"/>
      <c r="G4" s="473"/>
      <c r="H4" s="473"/>
      <c r="I4" s="473"/>
      <c r="J4" s="473"/>
      <c r="K4" s="473"/>
      <c r="L4" s="473"/>
      <c r="M4" s="473"/>
      <c r="N4" s="473"/>
      <c r="O4" s="473"/>
      <c r="P4" s="473"/>
      <c r="Q4" s="473"/>
      <c r="R4" s="146"/>
      <c r="S4" s="147"/>
      <c r="T4" s="147"/>
      <c r="U4" s="22"/>
      <c r="V4" s="22"/>
      <c r="W4" s="22"/>
      <c r="X4" s="22"/>
      <c r="Y4" s="23"/>
      <c r="Z4" s="23"/>
      <c r="AA4" s="23"/>
      <c r="AB4" s="23"/>
      <c r="AC4" s="23"/>
    </row>
    <row r="5" spans="1:29" ht="15" hidden="1" customHeight="1" outlineLevel="1" x14ac:dyDescent="0.25">
      <c r="A5" s="474" t="s">
        <v>1</v>
      </c>
      <c r="B5" s="474"/>
      <c r="C5" s="474"/>
      <c r="D5" s="474"/>
      <c r="E5" s="474"/>
      <c r="F5" s="474"/>
      <c r="G5" s="474"/>
      <c r="H5" s="474"/>
      <c r="I5" s="474"/>
      <c r="J5" s="474"/>
      <c r="K5" s="474"/>
      <c r="L5" s="474"/>
      <c r="M5" s="474"/>
      <c r="N5" s="474"/>
      <c r="O5" s="474"/>
      <c r="P5" s="474"/>
      <c r="Q5" s="474"/>
      <c r="R5" s="146"/>
      <c r="S5" s="147"/>
      <c r="T5" s="147"/>
      <c r="U5" s="22"/>
      <c r="V5" s="22"/>
      <c r="W5" s="22"/>
      <c r="X5" s="22"/>
      <c r="Y5" s="23"/>
      <c r="Z5" s="23"/>
      <c r="AA5" s="23"/>
      <c r="AB5" s="23"/>
      <c r="AC5" s="23"/>
    </row>
    <row r="6" spans="1:29" ht="15.75" hidden="1" outlineLevel="1" x14ac:dyDescent="0.25">
      <c r="A6" s="474" t="s">
        <v>117</v>
      </c>
      <c r="B6" s="474"/>
      <c r="C6" s="474"/>
      <c r="D6" s="474"/>
      <c r="E6" s="474"/>
      <c r="F6" s="474"/>
      <c r="G6" s="474"/>
      <c r="H6" s="474"/>
      <c r="I6" s="474"/>
      <c r="J6" s="474"/>
      <c r="K6" s="474"/>
      <c r="L6" s="474"/>
      <c r="M6" s="474"/>
      <c r="N6" s="474"/>
      <c r="O6" s="474"/>
      <c r="P6" s="474"/>
      <c r="Q6" s="474"/>
      <c r="R6" s="146"/>
      <c r="S6" s="147"/>
      <c r="T6" s="147"/>
      <c r="U6" s="22"/>
      <c r="V6" s="22"/>
      <c r="W6" s="22"/>
      <c r="X6" s="22"/>
      <c r="Y6" s="23"/>
      <c r="Z6" s="23"/>
      <c r="AA6" s="23"/>
      <c r="AB6" s="23"/>
      <c r="AC6" s="23"/>
    </row>
    <row r="7" spans="1:29" ht="15.75" collapsed="1" x14ac:dyDescent="0.25">
      <c r="A7" s="28"/>
      <c r="B7" s="28"/>
      <c r="C7" s="428"/>
      <c r="D7" s="428"/>
      <c r="E7" s="428"/>
      <c r="F7" s="428"/>
      <c r="G7" s="428"/>
      <c r="H7" s="428"/>
      <c r="I7" s="428"/>
      <c r="J7" s="428"/>
      <c r="K7" s="428"/>
      <c r="L7" s="428"/>
      <c r="M7" s="428"/>
      <c r="N7" s="428"/>
      <c r="O7" s="428"/>
      <c r="P7" s="428"/>
      <c r="Q7" s="428"/>
      <c r="R7" s="146"/>
      <c r="S7" s="147"/>
      <c r="T7" s="147"/>
      <c r="U7" s="22"/>
      <c r="V7" s="22"/>
      <c r="W7" s="22"/>
      <c r="X7" s="22"/>
      <c r="Y7" s="23"/>
      <c r="Z7" s="23"/>
      <c r="AA7" s="23"/>
      <c r="AB7" s="23"/>
      <c r="AC7" s="23"/>
    </row>
    <row r="8" spans="1:29" ht="15.75" customHeight="1" x14ac:dyDescent="0.25">
      <c r="A8" s="434"/>
      <c r="B8" s="429"/>
      <c r="C8" s="433"/>
      <c r="D8" s="432"/>
      <c r="E8" s="432"/>
      <c r="F8" s="432"/>
      <c r="G8" s="435"/>
      <c r="H8" s="161"/>
      <c r="I8" s="161"/>
      <c r="J8" s="161"/>
      <c r="K8" s="432"/>
      <c r="L8" s="475"/>
      <c r="M8" s="476"/>
      <c r="N8" s="476"/>
      <c r="O8" s="476"/>
      <c r="P8" s="476"/>
      <c r="Q8" s="476"/>
      <c r="R8" s="477"/>
      <c r="S8" s="147"/>
      <c r="T8" s="147"/>
      <c r="U8" s="22"/>
      <c r="V8" s="22"/>
      <c r="W8" s="22"/>
      <c r="X8" s="22"/>
      <c r="Y8" s="23"/>
      <c r="Z8" s="23"/>
      <c r="AA8" s="23"/>
      <c r="AB8" s="23"/>
      <c r="AC8" s="23"/>
    </row>
    <row r="9" spans="1:29" ht="40.5" customHeight="1" x14ac:dyDescent="0.25">
      <c r="A9" s="434" t="s">
        <v>2</v>
      </c>
      <c r="B9" s="429" t="s">
        <v>179</v>
      </c>
      <c r="C9" s="433" t="s">
        <v>3</v>
      </c>
      <c r="D9" s="432" t="s">
        <v>4</v>
      </c>
      <c r="E9" s="432" t="s">
        <v>93</v>
      </c>
      <c r="F9" s="432" t="s">
        <v>6</v>
      </c>
      <c r="G9" s="435" t="s">
        <v>28</v>
      </c>
      <c r="H9" s="430" t="s">
        <v>26</v>
      </c>
      <c r="I9" s="430" t="s">
        <v>27</v>
      </c>
      <c r="J9" s="430" t="s">
        <v>29</v>
      </c>
      <c r="K9" s="432" t="s">
        <v>30</v>
      </c>
      <c r="L9" s="478" t="s">
        <v>7</v>
      </c>
      <c r="M9" s="479"/>
      <c r="N9" s="478" t="s">
        <v>8</v>
      </c>
      <c r="O9" s="478" t="s">
        <v>9</v>
      </c>
      <c r="P9" s="479"/>
      <c r="Q9" s="478" t="s">
        <v>10</v>
      </c>
      <c r="R9" s="480" t="s">
        <v>5</v>
      </c>
      <c r="S9" s="147"/>
      <c r="T9" s="147"/>
      <c r="U9" s="22"/>
      <c r="V9" s="22"/>
      <c r="W9" s="22"/>
      <c r="X9" s="22"/>
      <c r="Y9" s="23"/>
      <c r="Z9" s="23"/>
      <c r="AA9" s="23"/>
      <c r="AB9" s="23"/>
      <c r="AC9" s="23"/>
    </row>
    <row r="10" spans="1:29" ht="51" customHeight="1" x14ac:dyDescent="0.25">
      <c r="A10" s="434" t="s">
        <v>2</v>
      </c>
      <c r="B10" s="429" t="s">
        <v>179</v>
      </c>
      <c r="C10" s="433" t="s">
        <v>3</v>
      </c>
      <c r="D10" s="432" t="s">
        <v>4</v>
      </c>
      <c r="E10" s="432" t="s">
        <v>93</v>
      </c>
      <c r="F10" s="432" t="s">
        <v>6</v>
      </c>
      <c r="G10" s="435" t="s">
        <v>28</v>
      </c>
      <c r="H10" s="430" t="s">
        <v>26</v>
      </c>
      <c r="I10" s="430" t="s">
        <v>27</v>
      </c>
      <c r="J10" s="430" t="s">
        <v>29</v>
      </c>
      <c r="K10" s="432" t="s">
        <v>30</v>
      </c>
      <c r="L10" s="430" t="s">
        <v>11</v>
      </c>
      <c r="M10" s="430" t="s">
        <v>12</v>
      </c>
      <c r="N10" s="479"/>
      <c r="O10" s="430" t="s">
        <v>11</v>
      </c>
      <c r="P10" s="430" t="s">
        <v>12</v>
      </c>
      <c r="Q10" s="478"/>
      <c r="R10" s="481"/>
      <c r="S10" s="147"/>
      <c r="T10" s="147"/>
      <c r="U10" s="22"/>
      <c r="V10" s="22"/>
      <c r="W10" s="22"/>
      <c r="X10" s="22"/>
      <c r="Y10" s="23"/>
      <c r="Z10" s="23"/>
      <c r="AA10" s="23"/>
      <c r="AB10" s="23"/>
      <c r="AC10" s="23"/>
    </row>
    <row r="11" spans="1:29" s="217" customFormat="1" ht="20.25" customHeight="1" x14ac:dyDescent="0.25">
      <c r="A11" s="29"/>
      <c r="B11" s="173"/>
      <c r="C11" s="420"/>
      <c r="D11" s="30" t="s">
        <v>38</v>
      </c>
      <c r="E11" s="31"/>
      <c r="F11" s="31"/>
      <c r="G11" s="242"/>
      <c r="H11" s="31"/>
      <c r="I11" s="31"/>
      <c r="J11" s="32"/>
      <c r="K11" s="31"/>
      <c r="L11" s="128"/>
      <c r="M11" s="129"/>
      <c r="N11" s="33"/>
      <c r="O11" s="31"/>
      <c r="P11" s="31"/>
      <c r="Q11" s="34"/>
      <c r="R11" s="148"/>
      <c r="S11" s="149"/>
      <c r="T11" s="149"/>
      <c r="U11" s="35"/>
      <c r="V11" s="35"/>
      <c r="W11" s="35"/>
      <c r="X11" s="35"/>
      <c r="Y11" s="36"/>
      <c r="Z11" s="36"/>
      <c r="AA11" s="36"/>
      <c r="AB11" s="36"/>
      <c r="AC11" s="36"/>
    </row>
    <row r="12" spans="1:29" s="218" customFormat="1" ht="17.25" customHeight="1" x14ac:dyDescent="0.25">
      <c r="A12" s="37"/>
      <c r="B12" s="174"/>
      <c r="C12" s="421"/>
      <c r="D12" s="38" t="s">
        <v>37</v>
      </c>
      <c r="E12" s="39"/>
      <c r="F12" s="39"/>
      <c r="G12" s="243"/>
      <c r="H12" s="39"/>
      <c r="I12" s="39"/>
      <c r="J12" s="40"/>
      <c r="K12" s="39"/>
      <c r="L12" s="130"/>
      <c r="M12" s="131"/>
      <c r="N12" s="41"/>
      <c r="O12" s="39"/>
      <c r="P12" s="39"/>
      <c r="Q12" s="42"/>
      <c r="R12" s="150"/>
      <c r="S12" s="151"/>
      <c r="T12" s="151"/>
      <c r="U12" s="43"/>
      <c r="V12" s="43"/>
      <c r="W12" s="43"/>
      <c r="X12" s="43"/>
      <c r="Y12" s="44"/>
      <c r="Z12" s="44"/>
      <c r="AA12" s="44"/>
      <c r="AB12" s="44"/>
      <c r="AC12" s="44"/>
    </row>
    <row r="13" spans="1:29" s="220" customFormat="1" ht="30" customHeight="1" x14ac:dyDescent="0.25">
      <c r="A13" s="45" t="s">
        <v>15</v>
      </c>
      <c r="B13" s="184"/>
      <c r="C13" s="422" t="s">
        <v>88</v>
      </c>
      <c r="D13" s="46" t="s">
        <v>118</v>
      </c>
      <c r="E13" s="47"/>
      <c r="F13" s="48"/>
      <c r="G13" s="49"/>
      <c r="H13" s="50"/>
      <c r="I13" s="50"/>
      <c r="J13" s="49"/>
      <c r="K13" s="12"/>
      <c r="L13" s="132"/>
      <c r="M13" s="133"/>
      <c r="N13" s="71"/>
      <c r="O13" s="68"/>
      <c r="P13" s="72"/>
      <c r="Q13" s="51"/>
      <c r="R13" s="227"/>
      <c r="S13" s="219"/>
      <c r="T13" s="219"/>
    </row>
    <row r="14" spans="1:29" s="348" customFormat="1" ht="30.75" customHeight="1" x14ac:dyDescent="0.25">
      <c r="A14" s="356" t="s">
        <v>16</v>
      </c>
      <c r="B14" s="331" t="s">
        <v>96</v>
      </c>
      <c r="C14" s="423" t="s">
        <v>88</v>
      </c>
      <c r="D14" s="333" t="s">
        <v>121</v>
      </c>
      <c r="E14" s="334" t="s">
        <v>17</v>
      </c>
      <c r="F14" s="335" t="s">
        <v>18</v>
      </c>
      <c r="G14" s="336">
        <v>1</v>
      </c>
      <c r="H14" s="337">
        <v>37.47</v>
      </c>
      <c r="I14" s="337">
        <v>41.61</v>
      </c>
      <c r="J14" s="338"/>
      <c r="K14" s="339">
        <f>ROUND(H14+I14+J14,2)</f>
        <v>79.08</v>
      </c>
      <c r="L14" s="340"/>
      <c r="M14" s="341"/>
      <c r="N14" s="342">
        <f>M14</f>
        <v>0</v>
      </c>
      <c r="O14" s="343"/>
      <c r="P14" s="344">
        <f>M14*K14</f>
        <v>0</v>
      </c>
      <c r="Q14" s="345">
        <f>O14+P14</f>
        <v>0</v>
      </c>
      <c r="R14" s="346" t="s">
        <v>48</v>
      </c>
      <c r="S14" s="347"/>
      <c r="T14" s="347"/>
    </row>
    <row r="15" spans="1:29" s="224" customFormat="1" ht="30" customHeight="1" x14ac:dyDescent="0.25">
      <c r="A15" s="52" t="s">
        <v>39</v>
      </c>
      <c r="B15" s="185" t="s">
        <v>97</v>
      </c>
      <c r="C15" s="424"/>
      <c r="D15" s="446" t="s">
        <v>205</v>
      </c>
      <c r="E15" s="53" t="s">
        <v>17</v>
      </c>
      <c r="F15" s="61" t="s">
        <v>18</v>
      </c>
      <c r="G15" s="62">
        <v>1.05</v>
      </c>
      <c r="H15" s="61">
        <f>H14*G15</f>
        <v>39.343499999999999</v>
      </c>
      <c r="I15" s="61">
        <f>G15*I14</f>
        <v>43.6905</v>
      </c>
      <c r="J15" s="62"/>
      <c r="K15" s="10">
        <f t="shared" ref="K15:K18" si="0">ROUND(H15+I15+J15,2)</f>
        <v>83.03</v>
      </c>
      <c r="L15" s="406"/>
      <c r="M15" s="136"/>
      <c r="N15" s="57">
        <f>L15</f>
        <v>0</v>
      </c>
      <c r="O15" s="58">
        <f>L15*K15</f>
        <v>0</v>
      </c>
      <c r="P15" s="59"/>
      <c r="Q15" s="60">
        <f>O15+P15</f>
        <v>0</v>
      </c>
      <c r="R15" s="222"/>
      <c r="S15" s="223"/>
      <c r="T15" s="223"/>
    </row>
    <row r="16" spans="1:29" ht="24" x14ac:dyDescent="0.25">
      <c r="A16" s="52" t="s">
        <v>40</v>
      </c>
      <c r="B16" s="185" t="s">
        <v>97</v>
      </c>
      <c r="C16" s="425"/>
      <c r="D16" s="443" t="s">
        <v>199</v>
      </c>
      <c r="E16" s="53" t="s">
        <v>17</v>
      </c>
      <c r="F16" s="90" t="s">
        <v>18</v>
      </c>
      <c r="G16" s="92">
        <v>0.22</v>
      </c>
      <c r="H16" s="64">
        <f>(54.14*0.2*0.25)*G16</f>
        <v>0.59554000000000007</v>
      </c>
      <c r="I16" s="64">
        <f>(83.53*0.2*0.25)*G16</f>
        <v>0.91882999999999992</v>
      </c>
      <c r="J16" s="92"/>
      <c r="K16" s="10">
        <f>ROUND(H16+I16+J16,2)</f>
        <v>1.51</v>
      </c>
      <c r="L16" s="190"/>
      <c r="M16" s="138"/>
      <c r="N16" s="57">
        <f t="shared" ref="N16:N18" si="1">L16</f>
        <v>0</v>
      </c>
      <c r="O16" s="58">
        <f t="shared" ref="O16:O18" si="2">L16*K16</f>
        <v>0</v>
      </c>
      <c r="P16" s="59"/>
      <c r="Q16" s="60">
        <f t="shared" ref="Q16:Q18" si="3">O16+P16</f>
        <v>0</v>
      </c>
      <c r="R16" s="169" t="s">
        <v>94</v>
      </c>
    </row>
    <row r="17" spans="1:29" ht="19.5" customHeight="1" x14ac:dyDescent="0.25">
      <c r="A17" s="52" t="s">
        <v>41</v>
      </c>
      <c r="B17" s="185" t="s">
        <v>97</v>
      </c>
      <c r="C17" s="425"/>
      <c r="D17" s="373" t="s">
        <v>204</v>
      </c>
      <c r="E17" s="53" t="s">
        <v>17</v>
      </c>
      <c r="F17" s="90" t="s">
        <v>22</v>
      </c>
      <c r="G17" s="92">
        <v>30</v>
      </c>
      <c r="H17" s="64">
        <f>34.72*G17</f>
        <v>1041.5999999999999</v>
      </c>
      <c r="I17" s="64">
        <f>(I14-4.18)*G17</f>
        <v>1122.9000000000001</v>
      </c>
      <c r="J17" s="92"/>
      <c r="K17" s="10">
        <f t="shared" si="0"/>
        <v>2164.5</v>
      </c>
      <c r="L17" s="408"/>
      <c r="M17" s="138"/>
      <c r="N17" s="57">
        <f t="shared" si="1"/>
        <v>0</v>
      </c>
      <c r="O17" s="58">
        <f t="shared" si="2"/>
        <v>0</v>
      </c>
      <c r="P17" s="59"/>
      <c r="Q17" s="60"/>
      <c r="R17" s="152"/>
    </row>
    <row r="18" spans="1:29" ht="21" customHeight="1" x14ac:dyDescent="0.25">
      <c r="A18" s="52" t="s">
        <v>102</v>
      </c>
      <c r="B18" s="185" t="s">
        <v>97</v>
      </c>
      <c r="C18" s="425"/>
      <c r="D18" s="85" t="s">
        <v>106</v>
      </c>
      <c r="E18" s="53" t="s">
        <v>17</v>
      </c>
      <c r="F18" s="90" t="s">
        <v>20</v>
      </c>
      <c r="G18" s="64">
        <v>1.1000000000000001</v>
      </c>
      <c r="H18" s="64">
        <f>54.14*0.2*5*G18</f>
        <v>59.554000000000016</v>
      </c>
      <c r="I18" s="64">
        <f>83.53*0.2*4.8*G18</f>
        <v>88.207680000000011</v>
      </c>
      <c r="J18" s="92"/>
      <c r="K18" s="10">
        <f t="shared" si="0"/>
        <v>147.76</v>
      </c>
      <c r="L18" s="190"/>
      <c r="M18" s="138"/>
      <c r="N18" s="57">
        <f t="shared" si="1"/>
        <v>0</v>
      </c>
      <c r="O18" s="58">
        <f t="shared" si="2"/>
        <v>0</v>
      </c>
      <c r="P18" s="59"/>
      <c r="Q18" s="60">
        <f t="shared" si="3"/>
        <v>0</v>
      </c>
      <c r="R18" s="226"/>
    </row>
    <row r="19" spans="1:29" s="220" customFormat="1" ht="26.25" customHeight="1" x14ac:dyDescent="0.25">
      <c r="A19" s="45" t="s">
        <v>104</v>
      </c>
      <c r="B19" s="184"/>
      <c r="C19" s="422" t="s">
        <v>88</v>
      </c>
      <c r="D19" s="46" t="s">
        <v>119</v>
      </c>
      <c r="E19" s="65"/>
      <c r="F19" s="66"/>
      <c r="G19" s="67"/>
      <c r="H19" s="69"/>
      <c r="I19" s="70"/>
      <c r="J19" s="67"/>
      <c r="K19" s="13"/>
      <c r="L19" s="139"/>
      <c r="M19" s="140"/>
      <c r="N19" s="71"/>
      <c r="O19" s="68"/>
      <c r="P19" s="72"/>
      <c r="Q19" s="51"/>
      <c r="R19" s="227"/>
      <c r="S19" s="219"/>
      <c r="T19" s="219"/>
    </row>
    <row r="20" spans="1:29" s="348" customFormat="1" ht="53.25" customHeight="1" x14ac:dyDescent="0.25">
      <c r="A20" s="356" t="s">
        <v>135</v>
      </c>
      <c r="B20" s="331" t="s">
        <v>96</v>
      </c>
      <c r="C20" s="423" t="s">
        <v>88</v>
      </c>
      <c r="D20" s="333" t="s">
        <v>173</v>
      </c>
      <c r="E20" s="334" t="s">
        <v>17</v>
      </c>
      <c r="F20" s="335" t="s">
        <v>20</v>
      </c>
      <c r="G20" s="357">
        <v>1</v>
      </c>
      <c r="H20" s="339">
        <v>74.319999999999993</v>
      </c>
      <c r="I20" s="358">
        <v>294.70999999999998</v>
      </c>
      <c r="J20" s="359"/>
      <c r="K20" s="339">
        <f>ROUND(H20+I20+J20,2)</f>
        <v>369.03</v>
      </c>
      <c r="L20" s="360"/>
      <c r="M20" s="361"/>
      <c r="N20" s="342">
        <f>M20</f>
        <v>0</v>
      </c>
      <c r="O20" s="343"/>
      <c r="P20" s="344">
        <f t="shared" ref="P20" si="4">M20*K20</f>
        <v>0</v>
      </c>
      <c r="Q20" s="345">
        <f t="shared" ref="Q20:Q25" si="5">O20+P20</f>
        <v>0</v>
      </c>
      <c r="R20" s="346" t="s">
        <v>48</v>
      </c>
      <c r="S20" s="347"/>
      <c r="T20" s="347"/>
    </row>
    <row r="21" spans="1:29" s="238" customFormat="1" ht="19.5" customHeight="1" x14ac:dyDescent="0.25">
      <c r="A21" s="52" t="s">
        <v>136</v>
      </c>
      <c r="B21" s="185" t="s">
        <v>97</v>
      </c>
      <c r="C21" s="424"/>
      <c r="D21" s="373" t="s">
        <v>203</v>
      </c>
      <c r="E21" s="53" t="s">
        <v>17</v>
      </c>
      <c r="F21" s="61" t="s">
        <v>19</v>
      </c>
      <c r="G21" s="322" t="s">
        <v>120</v>
      </c>
      <c r="H21" s="61">
        <f>ROUND(H20*G21,0)</f>
        <v>223</v>
      </c>
      <c r="I21" s="61">
        <f>ROUND(I20*G21,0)</f>
        <v>884</v>
      </c>
      <c r="J21" s="323"/>
      <c r="K21" s="10">
        <f>ROUND(H21+I21+J21,0)</f>
        <v>1107</v>
      </c>
      <c r="L21" s="190"/>
      <c r="M21" s="143"/>
      <c r="N21" s="57">
        <f>L21</f>
        <v>0</v>
      </c>
      <c r="O21" s="170">
        <f t="shared" ref="O21:O24" si="6">L21*K21</f>
        <v>0</v>
      </c>
      <c r="P21" s="59"/>
      <c r="Q21" s="60">
        <f>O21+P21</f>
        <v>0</v>
      </c>
      <c r="R21" s="222"/>
      <c r="S21" s="237"/>
      <c r="T21" s="237"/>
    </row>
    <row r="22" spans="1:29" s="238" customFormat="1" ht="20.25" customHeight="1" x14ac:dyDescent="0.25">
      <c r="A22" s="52" t="s">
        <v>137</v>
      </c>
      <c r="B22" s="185" t="s">
        <v>97</v>
      </c>
      <c r="C22" s="424"/>
      <c r="D22" s="443" t="s">
        <v>199</v>
      </c>
      <c r="E22" s="53" t="s">
        <v>17</v>
      </c>
      <c r="F22" s="325" t="s">
        <v>18</v>
      </c>
      <c r="G22" s="326" t="s">
        <v>103</v>
      </c>
      <c r="H22" s="325">
        <f>G22*10.86</f>
        <v>0.2172</v>
      </c>
      <c r="I22" s="327">
        <f>G22*50.1</f>
        <v>1.002</v>
      </c>
      <c r="J22" s="328"/>
      <c r="K22" s="10">
        <f>ROUND(H22+I22+J22,2)</f>
        <v>1.22</v>
      </c>
      <c r="L22" s="403"/>
      <c r="M22" s="404"/>
      <c r="N22" s="57">
        <f t="shared" ref="N22:N24" si="7">L22</f>
        <v>0</v>
      </c>
      <c r="O22" s="170">
        <f t="shared" si="6"/>
        <v>0</v>
      </c>
      <c r="P22" s="59"/>
      <c r="Q22" s="60">
        <f t="shared" si="5"/>
        <v>0</v>
      </c>
      <c r="R22" s="405"/>
      <c r="S22" s="237"/>
      <c r="T22" s="237"/>
    </row>
    <row r="23" spans="1:29" s="238" customFormat="1" ht="20.25" customHeight="1" x14ac:dyDescent="0.25">
      <c r="A23" s="52" t="s">
        <v>138</v>
      </c>
      <c r="B23" s="185" t="s">
        <v>97</v>
      </c>
      <c r="C23" s="424"/>
      <c r="D23" s="443" t="s">
        <v>198</v>
      </c>
      <c r="E23" s="53" t="s">
        <v>17</v>
      </c>
      <c r="F23" s="325" t="s">
        <v>22</v>
      </c>
      <c r="G23" s="326" t="s">
        <v>104</v>
      </c>
      <c r="H23" s="325">
        <f>(H20-10.86)*G23</f>
        <v>126.91999999999999</v>
      </c>
      <c r="I23" s="327">
        <f>G23*(I20-50)</f>
        <v>489.41999999999996</v>
      </c>
      <c r="J23" s="328"/>
      <c r="K23" s="10">
        <f t="shared" ref="K23:K24" si="8">ROUND(H23+I23+J23,2)</f>
        <v>616.34</v>
      </c>
      <c r="L23" s="403"/>
      <c r="M23" s="404"/>
      <c r="N23" s="57">
        <f t="shared" si="7"/>
        <v>0</v>
      </c>
      <c r="O23" s="170">
        <f t="shared" si="6"/>
        <v>0</v>
      </c>
      <c r="P23" s="59"/>
      <c r="Q23" s="60">
        <f t="shared" si="5"/>
        <v>0</v>
      </c>
      <c r="R23" s="405"/>
      <c r="S23" s="237"/>
      <c r="T23" s="237"/>
    </row>
    <row r="24" spans="1:29" s="93" customFormat="1" ht="26.25" customHeight="1" x14ac:dyDescent="0.25">
      <c r="A24" s="52" t="s">
        <v>139</v>
      </c>
      <c r="B24" s="185" t="s">
        <v>97</v>
      </c>
      <c r="C24" s="425"/>
      <c r="D24" s="85" t="s">
        <v>106</v>
      </c>
      <c r="E24" s="53" t="s">
        <v>17</v>
      </c>
      <c r="F24" s="90" t="s">
        <v>20</v>
      </c>
      <c r="G24" s="353" t="s">
        <v>105</v>
      </c>
      <c r="H24" s="354">
        <f>21.72*0.08*3*G24</f>
        <v>5.7340800000000005</v>
      </c>
      <c r="I24" s="352">
        <f>16.23*G24</f>
        <v>17.853000000000002</v>
      </c>
      <c r="J24" s="355"/>
      <c r="K24" s="10">
        <f t="shared" si="8"/>
        <v>23.59</v>
      </c>
      <c r="L24" s="190"/>
      <c r="M24" s="143"/>
      <c r="N24" s="57">
        <f t="shared" si="7"/>
        <v>0</v>
      </c>
      <c r="O24" s="170">
        <f t="shared" si="6"/>
        <v>0</v>
      </c>
      <c r="P24" s="59"/>
      <c r="Q24" s="60">
        <f t="shared" si="5"/>
        <v>0</v>
      </c>
      <c r="R24" s="152"/>
      <c r="S24" s="221"/>
      <c r="T24" s="221"/>
    </row>
    <row r="25" spans="1:29" s="217" customFormat="1" ht="18.75" customHeight="1" x14ac:dyDescent="0.25">
      <c r="A25" s="29"/>
      <c r="B25" s="186"/>
      <c r="C25" s="420"/>
      <c r="D25" s="30" t="s">
        <v>29</v>
      </c>
      <c r="E25" s="94"/>
      <c r="F25" s="94"/>
      <c r="G25" s="242"/>
      <c r="H25" s="31"/>
      <c r="I25" s="31"/>
      <c r="J25" s="32"/>
      <c r="K25" s="31"/>
      <c r="L25" s="128"/>
      <c r="M25" s="129"/>
      <c r="N25" s="80"/>
      <c r="O25" s="79"/>
      <c r="P25" s="81"/>
      <c r="Q25" s="82">
        <f t="shared" si="5"/>
        <v>0</v>
      </c>
      <c r="R25" s="148"/>
      <c r="S25" s="149"/>
      <c r="T25" s="149"/>
      <c r="U25" s="35"/>
      <c r="V25" s="35"/>
      <c r="W25" s="35"/>
      <c r="X25" s="35"/>
      <c r="Y25" s="36"/>
      <c r="Z25" s="36"/>
      <c r="AA25" s="36"/>
      <c r="AB25" s="36"/>
      <c r="AC25" s="36"/>
    </row>
    <row r="26" spans="1:29" s="220" customFormat="1" ht="22.5" customHeight="1" x14ac:dyDescent="0.25">
      <c r="A26" s="45" t="s">
        <v>120</v>
      </c>
      <c r="B26" s="184"/>
      <c r="C26" s="422" t="s">
        <v>88</v>
      </c>
      <c r="D26" s="46" t="s">
        <v>122</v>
      </c>
      <c r="E26" s="47"/>
      <c r="F26" s="48"/>
      <c r="G26" s="49"/>
      <c r="H26" s="50"/>
      <c r="I26" s="50"/>
      <c r="J26" s="49"/>
      <c r="K26" s="12"/>
      <c r="L26" s="132"/>
      <c r="M26" s="133"/>
      <c r="N26" s="71"/>
      <c r="O26" s="68"/>
      <c r="P26" s="72"/>
      <c r="Q26" s="51"/>
      <c r="R26" s="227"/>
      <c r="S26" s="219"/>
      <c r="T26" s="219"/>
    </row>
    <row r="27" spans="1:29" s="348" customFormat="1" ht="32.25" customHeight="1" x14ac:dyDescent="0.25">
      <c r="A27" s="356" t="s">
        <v>140</v>
      </c>
      <c r="B27" s="331" t="s">
        <v>96</v>
      </c>
      <c r="C27" s="423" t="s">
        <v>88</v>
      </c>
      <c r="D27" s="447" t="s">
        <v>121</v>
      </c>
      <c r="E27" s="334" t="s">
        <v>17</v>
      </c>
      <c r="F27" s="335" t="s">
        <v>18</v>
      </c>
      <c r="G27" s="336">
        <v>1</v>
      </c>
      <c r="H27" s="337"/>
      <c r="I27" s="337"/>
      <c r="J27" s="338">
        <v>4.99</v>
      </c>
      <c r="K27" s="339">
        <f t="shared" ref="K27:K31" si="9">ROUND(H27+I27+J27,2)</f>
        <v>4.99</v>
      </c>
      <c r="L27" s="340"/>
      <c r="M27" s="341"/>
      <c r="N27" s="342">
        <f>M27</f>
        <v>0</v>
      </c>
      <c r="O27" s="343"/>
      <c r="P27" s="344">
        <f>M27*K27</f>
        <v>0</v>
      </c>
      <c r="Q27" s="345">
        <f t="shared" ref="Q27:Q57" si="10">O27+P27</f>
        <v>0</v>
      </c>
      <c r="R27" s="346" t="s">
        <v>48</v>
      </c>
      <c r="S27" s="347"/>
      <c r="T27" s="347"/>
    </row>
    <row r="28" spans="1:29" s="238" customFormat="1" ht="14.25" customHeight="1" x14ac:dyDescent="0.25">
      <c r="A28" s="52" t="s">
        <v>141</v>
      </c>
      <c r="B28" s="185" t="s">
        <v>97</v>
      </c>
      <c r="C28" s="424"/>
      <c r="D28" s="446" t="s">
        <v>205</v>
      </c>
      <c r="E28" s="64" t="s">
        <v>17</v>
      </c>
      <c r="F28" s="61" t="s">
        <v>18</v>
      </c>
      <c r="G28" s="62">
        <v>1.05</v>
      </c>
      <c r="H28" s="61"/>
      <c r="I28" s="61"/>
      <c r="J28" s="62">
        <f>ROUND(J27*G28,2)</f>
        <v>5.24</v>
      </c>
      <c r="K28" s="10">
        <f t="shared" si="9"/>
        <v>5.24</v>
      </c>
      <c r="L28" s="406"/>
      <c r="M28" s="407"/>
      <c r="N28" s="57">
        <f>L28</f>
        <v>0</v>
      </c>
      <c r="O28" s="170">
        <f t="shared" ref="O28:O57" si="11">L28*K28</f>
        <v>0</v>
      </c>
      <c r="P28" s="59"/>
      <c r="Q28" s="60">
        <f t="shared" si="10"/>
        <v>0</v>
      </c>
      <c r="R28" s="222"/>
      <c r="S28" s="237"/>
      <c r="T28" s="237"/>
    </row>
    <row r="29" spans="1:29" s="93" customFormat="1" x14ac:dyDescent="0.25">
      <c r="A29" s="52" t="s">
        <v>142</v>
      </c>
      <c r="B29" s="185" t="s">
        <v>97</v>
      </c>
      <c r="C29" s="192"/>
      <c r="D29" s="443" t="s">
        <v>199</v>
      </c>
      <c r="E29" s="64" t="s">
        <v>17</v>
      </c>
      <c r="F29" s="90" t="s">
        <v>18</v>
      </c>
      <c r="G29" s="92">
        <v>0.22</v>
      </c>
      <c r="H29" s="61"/>
      <c r="I29" s="64"/>
      <c r="J29" s="92">
        <f>8.56*0.2*G29*0.25</f>
        <v>9.4160000000000008E-2</v>
      </c>
      <c r="K29" s="10">
        <f>ROUND(H29+I29+J29,2)</f>
        <v>0.09</v>
      </c>
      <c r="L29" s="190"/>
      <c r="M29" s="143"/>
      <c r="N29" s="57">
        <f t="shared" ref="N29:N31" si="12">L29</f>
        <v>0</v>
      </c>
      <c r="O29" s="170">
        <f t="shared" si="11"/>
        <v>0</v>
      </c>
      <c r="P29" s="59"/>
      <c r="Q29" s="60">
        <f t="shared" si="10"/>
        <v>0</v>
      </c>
      <c r="R29" s="152"/>
      <c r="S29" s="221"/>
      <c r="T29" s="221"/>
    </row>
    <row r="30" spans="1:29" s="93" customFormat="1" ht="20.25" customHeight="1" x14ac:dyDescent="0.25">
      <c r="A30" s="52" t="s">
        <v>143</v>
      </c>
      <c r="B30" s="185" t="s">
        <v>97</v>
      </c>
      <c r="C30" s="192"/>
      <c r="D30" s="373" t="s">
        <v>204</v>
      </c>
      <c r="E30" s="64" t="s">
        <v>17</v>
      </c>
      <c r="F30" s="90" t="s">
        <v>22</v>
      </c>
      <c r="G30" s="92">
        <v>30</v>
      </c>
      <c r="H30" s="61"/>
      <c r="I30" s="64"/>
      <c r="J30" s="92">
        <f>G30*4.56</f>
        <v>136.79999999999998</v>
      </c>
      <c r="K30" s="10">
        <f t="shared" si="9"/>
        <v>136.80000000000001</v>
      </c>
      <c r="L30" s="408"/>
      <c r="M30" s="143"/>
      <c r="N30" s="57">
        <f t="shared" si="12"/>
        <v>0</v>
      </c>
      <c r="O30" s="170">
        <f t="shared" si="11"/>
        <v>0</v>
      </c>
      <c r="P30" s="59"/>
      <c r="Q30" s="60">
        <f t="shared" si="10"/>
        <v>0</v>
      </c>
      <c r="R30" s="152"/>
      <c r="S30" s="221"/>
      <c r="T30" s="221"/>
    </row>
    <row r="31" spans="1:29" s="93" customFormat="1" ht="25.5" customHeight="1" x14ac:dyDescent="0.25">
      <c r="A31" s="52" t="s">
        <v>144</v>
      </c>
      <c r="B31" s="185" t="s">
        <v>97</v>
      </c>
      <c r="C31" s="192"/>
      <c r="D31" s="85" t="s">
        <v>106</v>
      </c>
      <c r="E31" s="64" t="s">
        <v>17</v>
      </c>
      <c r="F31" s="90" t="s">
        <v>20</v>
      </c>
      <c r="G31" s="92">
        <v>1.1000000000000001</v>
      </c>
      <c r="H31" s="61"/>
      <c r="I31" s="64"/>
      <c r="J31" s="92">
        <f>8.56*0.2*4.4*G31</f>
        <v>8.2860800000000019</v>
      </c>
      <c r="K31" s="10">
        <f t="shared" si="9"/>
        <v>8.2899999999999991</v>
      </c>
      <c r="L31" s="190"/>
      <c r="M31" s="143"/>
      <c r="N31" s="57">
        <f t="shared" si="12"/>
        <v>0</v>
      </c>
      <c r="O31" s="170">
        <f t="shared" si="11"/>
        <v>0</v>
      </c>
      <c r="P31" s="59"/>
      <c r="Q31" s="60">
        <f t="shared" si="10"/>
        <v>0</v>
      </c>
      <c r="R31" s="226"/>
      <c r="S31" s="221"/>
      <c r="T31" s="221"/>
    </row>
    <row r="32" spans="1:29" s="93" customFormat="1" ht="23.25" customHeight="1" x14ac:dyDescent="0.25">
      <c r="A32" s="45" t="s">
        <v>145</v>
      </c>
      <c r="B32" s="184"/>
      <c r="C32" s="176" t="s">
        <v>88</v>
      </c>
      <c r="D32" s="46" t="s">
        <v>124</v>
      </c>
      <c r="E32" s="47"/>
      <c r="F32" s="48"/>
      <c r="G32" s="49"/>
      <c r="H32" s="50"/>
      <c r="I32" s="50"/>
      <c r="J32" s="49"/>
      <c r="K32" s="12"/>
      <c r="L32" s="132"/>
      <c r="M32" s="133"/>
      <c r="N32" s="71"/>
      <c r="O32" s="68"/>
      <c r="P32" s="72"/>
      <c r="Q32" s="51"/>
      <c r="R32" s="227"/>
      <c r="S32" s="221"/>
      <c r="T32" s="221"/>
    </row>
    <row r="33" spans="1:20" s="348" customFormat="1" ht="27" customHeight="1" x14ac:dyDescent="0.25">
      <c r="A33" s="356" t="s">
        <v>146</v>
      </c>
      <c r="B33" s="331" t="s">
        <v>96</v>
      </c>
      <c r="C33" s="332" t="s">
        <v>88</v>
      </c>
      <c r="D33" s="333" t="s">
        <v>99</v>
      </c>
      <c r="E33" s="334" t="s">
        <v>17</v>
      </c>
      <c r="F33" s="335" t="s">
        <v>18</v>
      </c>
      <c r="G33" s="362">
        <v>1</v>
      </c>
      <c r="H33" s="339"/>
      <c r="I33" s="358"/>
      <c r="J33" s="363">
        <v>0.72</v>
      </c>
      <c r="K33" s="339">
        <f t="shared" ref="K33:K36" si="13">ROUND(H33+I33+J33,2)</f>
        <v>0.72</v>
      </c>
      <c r="L33" s="360"/>
      <c r="M33" s="361"/>
      <c r="N33" s="342">
        <f>M33</f>
        <v>0</v>
      </c>
      <c r="O33" s="343"/>
      <c r="P33" s="344">
        <f t="shared" ref="P33" si="14">M33*K33</f>
        <v>0</v>
      </c>
      <c r="Q33" s="345">
        <f t="shared" ref="Q33:Q36" si="15">O33+P33</f>
        <v>0</v>
      </c>
      <c r="R33" s="346" t="s">
        <v>48</v>
      </c>
      <c r="S33" s="347"/>
      <c r="T33" s="347"/>
    </row>
    <row r="34" spans="1:20" s="238" customFormat="1" ht="17.25" customHeight="1" x14ac:dyDescent="0.25">
      <c r="A34" s="52" t="s">
        <v>147</v>
      </c>
      <c r="B34" s="185" t="s">
        <v>97</v>
      </c>
      <c r="C34" s="191"/>
      <c r="D34" s="443" t="s">
        <v>200</v>
      </c>
      <c r="E34" s="53" t="s">
        <v>17</v>
      </c>
      <c r="F34" s="61" t="s">
        <v>19</v>
      </c>
      <c r="G34" s="168">
        <v>400</v>
      </c>
      <c r="H34" s="61"/>
      <c r="I34" s="168"/>
      <c r="J34" s="166">
        <f>G34*J33</f>
        <v>288</v>
      </c>
      <c r="K34" s="10">
        <f>ROUND(H34+I34+J34,0)</f>
        <v>288</v>
      </c>
      <c r="L34" s="190"/>
      <c r="M34" s="143"/>
      <c r="N34" s="57">
        <f>L34</f>
        <v>0</v>
      </c>
      <c r="O34" s="170">
        <f t="shared" ref="O34:O36" si="16">L34*K34</f>
        <v>0</v>
      </c>
      <c r="P34" s="59"/>
      <c r="Q34" s="60">
        <f t="shared" si="15"/>
        <v>0</v>
      </c>
      <c r="R34" s="222"/>
      <c r="S34" s="237"/>
      <c r="T34" s="237"/>
    </row>
    <row r="35" spans="1:20" s="93" customFormat="1" ht="17.25" customHeight="1" x14ac:dyDescent="0.25">
      <c r="A35" s="52" t="s">
        <v>148</v>
      </c>
      <c r="B35" s="185" t="s">
        <v>97</v>
      </c>
      <c r="C35" s="192"/>
      <c r="D35" s="443" t="s">
        <v>199</v>
      </c>
      <c r="E35" s="53" t="s">
        <v>17</v>
      </c>
      <c r="F35" s="90" t="s">
        <v>18</v>
      </c>
      <c r="G35" s="64">
        <v>0.24</v>
      </c>
      <c r="H35" s="61"/>
      <c r="I35" s="90"/>
      <c r="J35" s="167">
        <f>G35*J33</f>
        <v>0.17279999999999998</v>
      </c>
      <c r="K35" s="10">
        <f>ROUND(H35+I35+J35,2)</f>
        <v>0.17</v>
      </c>
      <c r="L35" s="190"/>
      <c r="M35" s="143"/>
      <c r="N35" s="57">
        <f t="shared" ref="N35:N36" si="17">L35</f>
        <v>0</v>
      </c>
      <c r="O35" s="170">
        <f t="shared" si="16"/>
        <v>0</v>
      </c>
      <c r="P35" s="59"/>
      <c r="Q35" s="60">
        <f t="shared" si="15"/>
        <v>0</v>
      </c>
      <c r="R35" s="152"/>
      <c r="S35" s="221"/>
      <c r="T35" s="221"/>
    </row>
    <row r="36" spans="1:20" s="93" customFormat="1" ht="24.75" customHeight="1" x14ac:dyDescent="0.25">
      <c r="A36" s="52" t="s">
        <v>149</v>
      </c>
      <c r="B36" s="185" t="s">
        <v>97</v>
      </c>
      <c r="C36" s="192"/>
      <c r="D36" s="441" t="s">
        <v>106</v>
      </c>
      <c r="E36" s="53" t="s">
        <v>17</v>
      </c>
      <c r="F36" s="90" t="s">
        <v>20</v>
      </c>
      <c r="G36" s="64">
        <v>1.1000000000000001</v>
      </c>
      <c r="H36" s="61"/>
      <c r="I36" s="90"/>
      <c r="J36" s="167">
        <f>2.2*0.25*6.16*G36</f>
        <v>3.7268000000000008</v>
      </c>
      <c r="K36" s="10">
        <f t="shared" si="13"/>
        <v>3.73</v>
      </c>
      <c r="L36" s="190"/>
      <c r="M36" s="143"/>
      <c r="N36" s="57">
        <f t="shared" si="17"/>
        <v>0</v>
      </c>
      <c r="O36" s="170">
        <f t="shared" si="16"/>
        <v>0</v>
      </c>
      <c r="P36" s="59"/>
      <c r="Q36" s="60">
        <f t="shared" si="15"/>
        <v>0</v>
      </c>
      <c r="R36" s="226"/>
      <c r="S36" s="221"/>
      <c r="T36" s="221"/>
    </row>
    <row r="37" spans="1:20" s="220" customFormat="1" ht="26.25" customHeight="1" x14ac:dyDescent="0.25">
      <c r="A37" s="45" t="s">
        <v>150</v>
      </c>
      <c r="B37" s="184"/>
      <c r="C37" s="176" t="s">
        <v>88</v>
      </c>
      <c r="D37" s="46" t="s">
        <v>123</v>
      </c>
      <c r="E37" s="65"/>
      <c r="F37" s="66"/>
      <c r="G37" s="67"/>
      <c r="H37" s="69"/>
      <c r="I37" s="70"/>
      <c r="J37" s="67"/>
      <c r="K37" s="13"/>
      <c r="L37" s="139"/>
      <c r="M37" s="140"/>
      <c r="N37" s="71"/>
      <c r="O37" s="68"/>
      <c r="P37" s="72"/>
      <c r="Q37" s="51"/>
      <c r="R37" s="227"/>
      <c r="S37" s="219"/>
      <c r="T37" s="219"/>
    </row>
    <row r="38" spans="1:20" s="348" customFormat="1" ht="51" customHeight="1" x14ac:dyDescent="0.25">
      <c r="A38" s="356" t="s">
        <v>151</v>
      </c>
      <c r="B38" s="331" t="s">
        <v>96</v>
      </c>
      <c r="C38" s="332" t="s">
        <v>88</v>
      </c>
      <c r="D38" s="333" t="s">
        <v>173</v>
      </c>
      <c r="E38" s="334" t="s">
        <v>17</v>
      </c>
      <c r="F38" s="335" t="s">
        <v>20</v>
      </c>
      <c r="G38" s="357"/>
      <c r="H38" s="339"/>
      <c r="I38" s="358"/>
      <c r="J38" s="359">
        <v>24.93</v>
      </c>
      <c r="K38" s="339">
        <f>ROUND(H38+I38+J38,2)</f>
        <v>24.93</v>
      </c>
      <c r="L38" s="360"/>
      <c r="M38" s="361"/>
      <c r="N38" s="342">
        <f>M38</f>
        <v>0</v>
      </c>
      <c r="O38" s="343"/>
      <c r="P38" s="344">
        <f t="shared" ref="P38" si="18">M38*K38</f>
        <v>0</v>
      </c>
      <c r="Q38" s="345">
        <f t="shared" ref="Q38:Q42" si="19">O38+P38</f>
        <v>0</v>
      </c>
      <c r="R38" s="346" t="s">
        <v>48</v>
      </c>
      <c r="S38" s="347"/>
      <c r="T38" s="347"/>
    </row>
    <row r="39" spans="1:20" s="238" customFormat="1" x14ac:dyDescent="0.25">
      <c r="A39" s="52" t="s">
        <v>152</v>
      </c>
      <c r="B39" s="185" t="s">
        <v>97</v>
      </c>
      <c r="C39" s="191"/>
      <c r="D39" s="373" t="s">
        <v>203</v>
      </c>
      <c r="E39" s="53" t="s">
        <v>17</v>
      </c>
      <c r="F39" s="61" t="s">
        <v>19</v>
      </c>
      <c r="G39" s="322" t="s">
        <v>120</v>
      </c>
      <c r="H39" s="61"/>
      <c r="I39" s="61"/>
      <c r="J39" s="323">
        <f>G39*J38</f>
        <v>74.789999999999992</v>
      </c>
      <c r="K39" s="10">
        <f>ROUND(H39+I39+J39,0)</f>
        <v>75</v>
      </c>
      <c r="L39" s="190"/>
      <c r="M39" s="143"/>
      <c r="N39" s="57">
        <f>L39</f>
        <v>0</v>
      </c>
      <c r="O39" s="170">
        <f t="shared" ref="O39:O42" si="20">L39*K39</f>
        <v>0</v>
      </c>
      <c r="P39" s="59"/>
      <c r="Q39" s="60">
        <f t="shared" si="19"/>
        <v>0</v>
      </c>
      <c r="R39" s="222"/>
      <c r="S39" s="237"/>
      <c r="T39" s="237"/>
    </row>
    <row r="40" spans="1:20" s="238" customFormat="1" ht="20.25" customHeight="1" x14ac:dyDescent="0.25">
      <c r="A40" s="52" t="s">
        <v>153</v>
      </c>
      <c r="B40" s="185" t="s">
        <v>97</v>
      </c>
      <c r="C40" s="324"/>
      <c r="D40" s="443" t="s">
        <v>199</v>
      </c>
      <c r="E40" s="53" t="s">
        <v>17</v>
      </c>
      <c r="F40" s="325" t="s">
        <v>18</v>
      </c>
      <c r="G40" s="326" t="s">
        <v>103</v>
      </c>
      <c r="H40" s="325"/>
      <c r="I40" s="327"/>
      <c r="J40" s="328">
        <f>24.66*0.08*0.5*G40</f>
        <v>1.9728000000000002E-2</v>
      </c>
      <c r="K40" s="10">
        <f>ROUND(H40+I40+J40,2)</f>
        <v>0.02</v>
      </c>
      <c r="L40" s="403"/>
      <c r="M40" s="404"/>
      <c r="N40" s="57">
        <f t="shared" ref="N40:N42" si="21">L40</f>
        <v>0</v>
      </c>
      <c r="O40" s="170">
        <f t="shared" si="20"/>
        <v>0</v>
      </c>
      <c r="P40" s="59"/>
      <c r="Q40" s="60">
        <f t="shared" si="19"/>
        <v>0</v>
      </c>
      <c r="R40" s="405"/>
      <c r="S40" s="237"/>
      <c r="T40" s="237"/>
    </row>
    <row r="41" spans="1:20" s="238" customFormat="1" ht="20.25" customHeight="1" x14ac:dyDescent="0.25">
      <c r="A41" s="52" t="s">
        <v>154</v>
      </c>
      <c r="B41" s="185" t="s">
        <v>97</v>
      </c>
      <c r="C41" s="324"/>
      <c r="D41" s="443" t="s">
        <v>198</v>
      </c>
      <c r="E41" s="53" t="s">
        <v>17</v>
      </c>
      <c r="F41" s="325" t="s">
        <v>22</v>
      </c>
      <c r="G41" s="326" t="s">
        <v>104</v>
      </c>
      <c r="H41" s="325"/>
      <c r="I41" s="327"/>
      <c r="J41" s="328">
        <f>(24.93-0.98)*G41</f>
        <v>47.9</v>
      </c>
      <c r="K41" s="10">
        <f t="shared" ref="K41:K42" si="22">ROUND(H41+I41+J41,2)</f>
        <v>47.9</v>
      </c>
      <c r="L41" s="403"/>
      <c r="M41" s="404"/>
      <c r="N41" s="57">
        <f t="shared" si="21"/>
        <v>0</v>
      </c>
      <c r="O41" s="170">
        <f t="shared" si="20"/>
        <v>0</v>
      </c>
      <c r="P41" s="59"/>
      <c r="Q41" s="60">
        <f t="shared" si="19"/>
        <v>0</v>
      </c>
      <c r="R41" s="405"/>
      <c r="S41" s="237"/>
      <c r="T41" s="237"/>
    </row>
    <row r="42" spans="1:20" s="93" customFormat="1" x14ac:dyDescent="0.25">
      <c r="A42" s="52" t="s">
        <v>155</v>
      </c>
      <c r="B42" s="185" t="s">
        <v>97</v>
      </c>
      <c r="C42" s="192"/>
      <c r="D42" s="85" t="s">
        <v>106</v>
      </c>
      <c r="E42" s="53" t="s">
        <v>17</v>
      </c>
      <c r="F42" s="90" t="s">
        <v>20</v>
      </c>
      <c r="G42" s="353" t="s">
        <v>105</v>
      </c>
      <c r="H42" s="354"/>
      <c r="I42" s="352"/>
      <c r="J42" s="355">
        <f>2.2*24.66*0.08*G42</f>
        <v>4.7741760000000006</v>
      </c>
      <c r="K42" s="10">
        <f t="shared" si="22"/>
        <v>4.7699999999999996</v>
      </c>
      <c r="L42" s="190"/>
      <c r="M42" s="143"/>
      <c r="N42" s="57">
        <f t="shared" si="21"/>
        <v>0</v>
      </c>
      <c r="O42" s="170">
        <f t="shared" si="20"/>
        <v>0</v>
      </c>
      <c r="P42" s="59"/>
      <c r="Q42" s="60">
        <f t="shared" si="19"/>
        <v>0</v>
      </c>
      <c r="R42" s="152"/>
      <c r="S42" s="221"/>
      <c r="T42" s="221"/>
    </row>
    <row r="43" spans="1:20" s="217" customFormat="1" ht="20.25" customHeight="1" x14ac:dyDescent="0.25">
      <c r="A43" s="73" t="s">
        <v>156</v>
      </c>
      <c r="B43" s="187"/>
      <c r="C43" s="179"/>
      <c r="D43" s="74" t="s">
        <v>36</v>
      </c>
      <c r="E43" s="75"/>
      <c r="F43" s="76"/>
      <c r="G43" s="244"/>
      <c r="H43" s="78"/>
      <c r="I43" s="78"/>
      <c r="J43" s="77"/>
      <c r="K43" s="14"/>
      <c r="L43" s="141"/>
      <c r="M43" s="142"/>
      <c r="N43" s="80"/>
      <c r="O43" s="79"/>
      <c r="P43" s="81"/>
      <c r="Q43" s="82"/>
      <c r="R43" s="230"/>
      <c r="S43" s="231"/>
      <c r="T43" s="231"/>
    </row>
    <row r="44" spans="1:20" s="234" customFormat="1" ht="20.25" customHeight="1" x14ac:dyDescent="0.2">
      <c r="A44" s="45" t="s">
        <v>157</v>
      </c>
      <c r="B44" s="184" t="s">
        <v>96</v>
      </c>
      <c r="C44" s="176" t="s">
        <v>88</v>
      </c>
      <c r="D44" s="439" t="s">
        <v>125</v>
      </c>
      <c r="E44" s="193" t="s">
        <v>17</v>
      </c>
      <c r="F44" s="194" t="s">
        <v>19</v>
      </c>
      <c r="G44" s="49">
        <v>1</v>
      </c>
      <c r="H44" s="84"/>
      <c r="I44" s="84"/>
      <c r="J44" s="83">
        <f>1+2+4+1</f>
        <v>8</v>
      </c>
      <c r="K44" s="10">
        <f>ROUND(H44+I44+J44,2)</f>
        <v>8</v>
      </c>
      <c r="L44" s="144"/>
      <c r="M44" s="145"/>
      <c r="N44" s="71">
        <f>M44</f>
        <v>0</v>
      </c>
      <c r="O44" s="89"/>
      <c r="P44" s="72">
        <f>M44*K44</f>
        <v>0</v>
      </c>
      <c r="Q44" s="51">
        <f t="shared" si="10"/>
        <v>0</v>
      </c>
      <c r="R44" s="232"/>
      <c r="S44" s="233"/>
      <c r="T44" s="233"/>
    </row>
    <row r="45" spans="1:20" ht="20.25" customHeight="1" x14ac:dyDescent="0.25">
      <c r="A45" s="52" t="s">
        <v>158</v>
      </c>
      <c r="B45" s="185" t="s">
        <v>97</v>
      </c>
      <c r="C45" s="180" t="s">
        <v>126</v>
      </c>
      <c r="D45" s="443" t="s">
        <v>199</v>
      </c>
      <c r="E45" s="53" t="s">
        <v>17</v>
      </c>
      <c r="F45" s="54" t="s">
        <v>18</v>
      </c>
      <c r="G45" s="95">
        <v>1</v>
      </c>
      <c r="H45" s="56"/>
      <c r="I45" s="56"/>
      <c r="J45" s="87">
        <f>1*1*0.025*G45*0.08</f>
        <v>2E-3</v>
      </c>
      <c r="K45" s="15">
        <f>ROUND(H45+I45+J45,3)</f>
        <v>2E-3</v>
      </c>
      <c r="L45" s="137"/>
      <c r="M45" s="138"/>
      <c r="N45" s="57">
        <f>L45</f>
        <v>0</v>
      </c>
      <c r="O45" s="58">
        <f t="shared" si="11"/>
        <v>0</v>
      </c>
      <c r="P45" s="59"/>
      <c r="Q45" s="60">
        <f>O45+P45</f>
        <v>0</v>
      </c>
      <c r="R45" s="228"/>
    </row>
    <row r="46" spans="1:20" ht="20.25" customHeight="1" x14ac:dyDescent="0.25">
      <c r="A46" s="52" t="s">
        <v>159</v>
      </c>
      <c r="B46" s="185" t="s">
        <v>97</v>
      </c>
      <c r="C46" s="180" t="s">
        <v>127</v>
      </c>
      <c r="D46" s="443" t="s">
        <v>199</v>
      </c>
      <c r="E46" s="53" t="s">
        <v>17</v>
      </c>
      <c r="F46" s="54" t="s">
        <v>18</v>
      </c>
      <c r="G46" s="95">
        <v>1</v>
      </c>
      <c r="H46" s="56"/>
      <c r="I46" s="56"/>
      <c r="J46" s="87">
        <f>1.2*2*0.025*G46*0.08</f>
        <v>4.7999999999999996E-3</v>
      </c>
      <c r="K46" s="15">
        <f>ROUND(H46+I46+J46,3)</f>
        <v>5.0000000000000001E-3</v>
      </c>
      <c r="L46" s="137"/>
      <c r="M46" s="138"/>
      <c r="N46" s="57">
        <f t="shared" ref="N46:N51" si="23">L46</f>
        <v>0</v>
      </c>
      <c r="O46" s="58">
        <f t="shared" si="11"/>
        <v>0</v>
      </c>
      <c r="P46" s="59"/>
      <c r="Q46" s="60">
        <f t="shared" si="10"/>
        <v>0</v>
      </c>
      <c r="R46" s="228"/>
    </row>
    <row r="47" spans="1:20" s="93" customFormat="1" ht="20.25" customHeight="1" x14ac:dyDescent="0.25">
      <c r="A47" s="52" t="s">
        <v>160</v>
      </c>
      <c r="B47" s="185" t="s">
        <v>97</v>
      </c>
      <c r="C47" s="180" t="s">
        <v>128</v>
      </c>
      <c r="D47" s="443" t="s">
        <v>199</v>
      </c>
      <c r="E47" s="53" t="s">
        <v>17</v>
      </c>
      <c r="F47" s="54" t="s">
        <v>18</v>
      </c>
      <c r="G47" s="95">
        <v>1</v>
      </c>
      <c r="H47" s="86"/>
      <c r="I47" s="56"/>
      <c r="J47" s="55">
        <f>G47*1.3*4*0.025*0.08</f>
        <v>1.0400000000000001E-2</v>
      </c>
      <c r="K47" s="15">
        <f>ROUND(H47+I47+J47,2)</f>
        <v>0.01</v>
      </c>
      <c r="L47" s="137"/>
      <c r="M47" s="143"/>
      <c r="N47" s="57">
        <f t="shared" si="23"/>
        <v>0</v>
      </c>
      <c r="O47" s="58">
        <f t="shared" si="11"/>
        <v>0</v>
      </c>
      <c r="P47" s="59"/>
      <c r="Q47" s="60">
        <f t="shared" si="10"/>
        <v>0</v>
      </c>
      <c r="R47" s="226"/>
      <c r="S47" s="221"/>
      <c r="T47" s="221"/>
    </row>
    <row r="48" spans="1:20" s="93" customFormat="1" ht="20.25" customHeight="1" x14ac:dyDescent="0.25">
      <c r="A48" s="52" t="s">
        <v>161</v>
      </c>
      <c r="B48" s="185" t="s">
        <v>97</v>
      </c>
      <c r="C48" s="180"/>
      <c r="D48" s="442" t="s">
        <v>197</v>
      </c>
      <c r="E48" s="53" t="s">
        <v>17</v>
      </c>
      <c r="F48" s="54" t="s">
        <v>21</v>
      </c>
      <c r="G48" s="95">
        <v>1.04</v>
      </c>
      <c r="H48" s="86"/>
      <c r="I48" s="86"/>
      <c r="J48" s="87">
        <f>1*3*0.89*G48/1000</f>
        <v>2.7768000000000003E-3</v>
      </c>
      <c r="K48" s="15">
        <f t="shared" ref="K48" si="24">ROUND(H48+I48+J48,3)</f>
        <v>3.0000000000000001E-3</v>
      </c>
      <c r="L48" s="137"/>
      <c r="M48" s="143"/>
      <c r="N48" s="57">
        <f t="shared" si="23"/>
        <v>0</v>
      </c>
      <c r="O48" s="58">
        <f t="shared" si="11"/>
        <v>0</v>
      </c>
      <c r="P48" s="59"/>
      <c r="Q48" s="60">
        <f t="shared" si="10"/>
        <v>0</v>
      </c>
      <c r="R48" s="226"/>
      <c r="S48" s="221"/>
      <c r="T48" s="221"/>
    </row>
    <row r="49" spans="1:29" s="93" customFormat="1" ht="20.25" customHeight="1" x14ac:dyDescent="0.25">
      <c r="A49" s="52" t="s">
        <v>162</v>
      </c>
      <c r="B49" s="185" t="s">
        <v>97</v>
      </c>
      <c r="C49" s="368"/>
      <c r="D49" s="373" t="s">
        <v>197</v>
      </c>
      <c r="E49" s="53" t="s">
        <v>17</v>
      </c>
      <c r="F49" s="54" t="s">
        <v>21</v>
      </c>
      <c r="G49" s="95">
        <v>1.04</v>
      </c>
      <c r="H49" s="371"/>
      <c r="I49" s="371"/>
      <c r="J49" s="87">
        <f>1.2*6*0.89*G49/1000</f>
        <v>6.6643199999999996E-3</v>
      </c>
      <c r="K49" s="15">
        <f>ROUND(H49+I49+J49,2)</f>
        <v>0.01</v>
      </c>
      <c r="L49" s="364"/>
      <c r="M49" s="365"/>
      <c r="N49" s="57">
        <f t="shared" si="23"/>
        <v>0</v>
      </c>
      <c r="O49" s="58">
        <f t="shared" si="11"/>
        <v>0</v>
      </c>
      <c r="P49" s="59"/>
      <c r="Q49" s="60">
        <f t="shared" si="10"/>
        <v>0</v>
      </c>
      <c r="R49" s="367"/>
      <c r="S49" s="221"/>
      <c r="T49" s="221"/>
    </row>
    <row r="50" spans="1:29" s="93" customFormat="1" ht="20.25" customHeight="1" x14ac:dyDescent="0.25">
      <c r="A50" s="52" t="s">
        <v>163</v>
      </c>
      <c r="B50" s="185" t="s">
        <v>97</v>
      </c>
      <c r="C50" s="368"/>
      <c r="D50" s="373" t="s">
        <v>197</v>
      </c>
      <c r="E50" s="53" t="s">
        <v>17</v>
      </c>
      <c r="F50" s="54" t="s">
        <v>21</v>
      </c>
      <c r="G50" s="95">
        <v>1.04</v>
      </c>
      <c r="H50" s="371"/>
      <c r="I50" s="371"/>
      <c r="J50" s="87">
        <f>1.3*12*0.89*G50/1000</f>
        <v>1.4439360000000002E-2</v>
      </c>
      <c r="K50" s="15">
        <f>ROUND(H50+I50+J50,2)</f>
        <v>0.01</v>
      </c>
      <c r="L50" s="364"/>
      <c r="M50" s="365"/>
      <c r="N50" s="57">
        <f t="shared" si="23"/>
        <v>0</v>
      </c>
      <c r="O50" s="58">
        <f t="shared" si="11"/>
        <v>0</v>
      </c>
      <c r="P50" s="59"/>
      <c r="Q50" s="60">
        <f t="shared" si="10"/>
        <v>0</v>
      </c>
      <c r="R50" s="367"/>
      <c r="S50" s="221"/>
      <c r="T50" s="221"/>
    </row>
    <row r="51" spans="1:29" s="93" customFormat="1" ht="20.25" customHeight="1" x14ac:dyDescent="0.25">
      <c r="A51" s="52" t="s">
        <v>164</v>
      </c>
      <c r="B51" s="185" t="s">
        <v>97</v>
      </c>
      <c r="C51" s="368"/>
      <c r="D51" s="351" t="s">
        <v>178</v>
      </c>
      <c r="E51" s="53" t="s">
        <v>17</v>
      </c>
      <c r="F51" s="369" t="s">
        <v>107</v>
      </c>
      <c r="G51" s="370">
        <v>1</v>
      </c>
      <c r="H51" s="371"/>
      <c r="I51" s="371"/>
      <c r="J51" s="372">
        <v>1</v>
      </c>
      <c r="K51" s="15">
        <f>ROUND(H51+I51+J51,2)</f>
        <v>1</v>
      </c>
      <c r="L51" s="364"/>
      <c r="M51" s="365"/>
      <c r="N51" s="57">
        <f t="shared" si="23"/>
        <v>0</v>
      </c>
      <c r="O51" s="58">
        <f t="shared" si="11"/>
        <v>0</v>
      </c>
      <c r="P51" s="59"/>
      <c r="Q51" s="60">
        <f t="shared" si="10"/>
        <v>0</v>
      </c>
      <c r="R51" s="367"/>
      <c r="S51" s="221"/>
      <c r="T51" s="221"/>
    </row>
    <row r="52" spans="1:29" s="234" customFormat="1" ht="28.5" customHeight="1" x14ac:dyDescent="0.2">
      <c r="A52" s="45" t="s">
        <v>165</v>
      </c>
      <c r="B52" s="184" t="s">
        <v>96</v>
      </c>
      <c r="C52" s="176" t="s">
        <v>88</v>
      </c>
      <c r="D52" s="439" t="s">
        <v>130</v>
      </c>
      <c r="E52" s="47" t="s">
        <v>17</v>
      </c>
      <c r="F52" s="48" t="s">
        <v>19</v>
      </c>
      <c r="G52" s="49">
        <v>1</v>
      </c>
      <c r="H52" s="84">
        <v>30</v>
      </c>
      <c r="I52" s="84">
        <f>17+38</f>
        <v>55</v>
      </c>
      <c r="J52" s="83"/>
      <c r="K52" s="13">
        <f>ROUND(H52+I52+J52,0)</f>
        <v>85</v>
      </c>
      <c r="L52" s="144"/>
      <c r="M52" s="444"/>
      <c r="N52" s="71">
        <f>M52</f>
        <v>0</v>
      </c>
      <c r="O52" s="89"/>
      <c r="P52" s="72">
        <f>M52*K52</f>
        <v>0</v>
      </c>
      <c r="Q52" s="51">
        <f t="shared" si="10"/>
        <v>0</v>
      </c>
      <c r="R52" s="232"/>
      <c r="S52" s="233"/>
      <c r="T52" s="233"/>
    </row>
    <row r="53" spans="1:29" s="93" customFormat="1" ht="18" customHeight="1" x14ac:dyDescent="0.25">
      <c r="A53" s="201" t="s">
        <v>166</v>
      </c>
      <c r="B53" s="202" t="s">
        <v>97</v>
      </c>
      <c r="C53" s="181"/>
      <c r="D53" s="443" t="s">
        <v>199</v>
      </c>
      <c r="E53" s="91" t="s">
        <v>17</v>
      </c>
      <c r="F53" s="199" t="s">
        <v>18</v>
      </c>
      <c r="G53" s="203">
        <v>1.04</v>
      </c>
      <c r="H53" s="204">
        <v>0.16</v>
      </c>
      <c r="I53" s="204">
        <v>0.16</v>
      </c>
      <c r="J53" s="203"/>
      <c r="K53" s="15">
        <f t="shared" ref="K53" si="25">ROUND(H53+I53+J53,3)</f>
        <v>0.32</v>
      </c>
      <c r="L53" s="205"/>
      <c r="M53" s="206"/>
      <c r="N53" s="57">
        <f>L53</f>
        <v>0</v>
      </c>
      <c r="O53" s="207">
        <f t="shared" si="11"/>
        <v>0</v>
      </c>
      <c r="P53" s="59"/>
      <c r="Q53" s="60">
        <f t="shared" si="10"/>
        <v>0</v>
      </c>
      <c r="R53" s="235"/>
      <c r="S53" s="221"/>
      <c r="T53" s="221"/>
    </row>
    <row r="54" spans="1:29" s="93" customFormat="1" x14ac:dyDescent="0.25">
      <c r="A54" s="201" t="s">
        <v>167</v>
      </c>
      <c r="B54" s="188" t="s">
        <v>97</v>
      </c>
      <c r="C54" s="181"/>
      <c r="D54" s="442" t="s">
        <v>197</v>
      </c>
      <c r="E54" s="91" t="s">
        <v>17</v>
      </c>
      <c r="F54" s="90" t="s">
        <v>21</v>
      </c>
      <c r="G54" s="92">
        <v>1.04</v>
      </c>
      <c r="H54" s="196">
        <v>0.14399999999999999</v>
      </c>
      <c r="I54" s="196">
        <v>0.18</v>
      </c>
      <c r="J54" s="319"/>
      <c r="K54" s="15">
        <f t="shared" ref="K54:K56" si="26">ROUND(H54+I54+J54,2)</f>
        <v>0.32</v>
      </c>
      <c r="L54" s="190"/>
      <c r="M54" s="143"/>
      <c r="N54" s="57">
        <f t="shared" ref="N54:N57" si="27">L54</f>
        <v>0</v>
      </c>
      <c r="O54" s="170">
        <f t="shared" si="11"/>
        <v>0</v>
      </c>
      <c r="P54" s="59"/>
      <c r="Q54" s="60">
        <f t="shared" si="10"/>
        <v>0</v>
      </c>
      <c r="R54" s="235"/>
      <c r="S54" s="221"/>
      <c r="T54" s="221"/>
    </row>
    <row r="55" spans="1:29" s="93" customFormat="1" x14ac:dyDescent="0.25">
      <c r="A55" s="201" t="s">
        <v>168</v>
      </c>
      <c r="B55" s="188" t="s">
        <v>97</v>
      </c>
      <c r="C55" s="426" t="s">
        <v>131</v>
      </c>
      <c r="D55" s="398" t="s">
        <v>133</v>
      </c>
      <c r="E55" s="91" t="s">
        <v>17</v>
      </c>
      <c r="F55" s="54" t="s">
        <v>19</v>
      </c>
      <c r="G55" s="92">
        <v>1</v>
      </c>
      <c r="H55" s="64">
        <v>3</v>
      </c>
      <c r="I55" s="64">
        <v>8</v>
      </c>
      <c r="J55" s="320"/>
      <c r="K55" s="15">
        <f t="shared" si="26"/>
        <v>11</v>
      </c>
      <c r="L55" s="134"/>
      <c r="M55" s="171"/>
      <c r="N55" s="57">
        <f t="shared" si="27"/>
        <v>0</v>
      </c>
      <c r="O55" s="170">
        <f t="shared" si="11"/>
        <v>0</v>
      </c>
      <c r="P55" s="59"/>
      <c r="Q55" s="60">
        <f t="shared" si="10"/>
        <v>0</v>
      </c>
      <c r="R55" s="226"/>
      <c r="S55" s="221"/>
      <c r="T55" s="221"/>
    </row>
    <row r="56" spans="1:29" s="93" customFormat="1" x14ac:dyDescent="0.25">
      <c r="A56" s="201" t="s">
        <v>169</v>
      </c>
      <c r="B56" s="188" t="s">
        <v>97</v>
      </c>
      <c r="C56" s="426" t="s">
        <v>132</v>
      </c>
      <c r="D56" s="393" t="s">
        <v>134</v>
      </c>
      <c r="E56" s="91" t="s">
        <v>17</v>
      </c>
      <c r="F56" s="54" t="s">
        <v>19</v>
      </c>
      <c r="G56" s="92">
        <v>1</v>
      </c>
      <c r="H56" s="64">
        <v>1</v>
      </c>
      <c r="I56" s="64">
        <v>1</v>
      </c>
      <c r="J56" s="320"/>
      <c r="K56" s="15">
        <f t="shared" si="26"/>
        <v>2</v>
      </c>
      <c r="L56" s="190"/>
      <c r="M56" s="143"/>
      <c r="N56" s="57">
        <f t="shared" si="27"/>
        <v>0</v>
      </c>
      <c r="O56" s="170">
        <f t="shared" si="11"/>
        <v>0</v>
      </c>
      <c r="P56" s="59"/>
      <c r="Q56" s="60">
        <f t="shared" si="10"/>
        <v>0</v>
      </c>
      <c r="R56" s="226"/>
      <c r="S56" s="221"/>
      <c r="T56" s="221"/>
    </row>
    <row r="57" spans="1:29" s="93" customFormat="1" x14ac:dyDescent="0.25">
      <c r="A57" s="201" t="s">
        <v>170</v>
      </c>
      <c r="B57" s="188" t="s">
        <v>97</v>
      </c>
      <c r="C57" s="394"/>
      <c r="D57" s="321" t="s">
        <v>194</v>
      </c>
      <c r="E57" s="91" t="s">
        <v>17</v>
      </c>
      <c r="F57" s="90" t="s">
        <v>21</v>
      </c>
      <c r="G57" s="92">
        <v>1</v>
      </c>
      <c r="H57" s="399">
        <v>2E-3</v>
      </c>
      <c r="I57" s="400">
        <v>0</v>
      </c>
      <c r="J57" s="401"/>
      <c r="K57" s="15">
        <f>ROUND(H57+I57+J57,3)</f>
        <v>2E-3</v>
      </c>
      <c r="L57" s="402"/>
      <c r="M57" s="365"/>
      <c r="N57" s="57">
        <f t="shared" si="27"/>
        <v>0</v>
      </c>
      <c r="O57" s="170">
        <f t="shared" si="11"/>
        <v>0</v>
      </c>
      <c r="P57" s="59"/>
      <c r="Q57" s="60">
        <f t="shared" si="10"/>
        <v>0</v>
      </c>
      <c r="R57" s="367"/>
      <c r="S57" s="221"/>
      <c r="T57" s="221"/>
    </row>
    <row r="58" spans="1:29" s="392" customFormat="1" ht="26.25" customHeight="1" x14ac:dyDescent="0.25">
      <c r="A58" s="374"/>
      <c r="B58" s="375"/>
      <c r="C58" s="376"/>
      <c r="D58" s="377" t="s">
        <v>35</v>
      </c>
      <c r="E58" s="378"/>
      <c r="F58" s="378"/>
      <c r="G58" s="379"/>
      <c r="H58" s="380"/>
      <c r="I58" s="380"/>
      <c r="J58" s="381"/>
      <c r="K58" s="380"/>
      <c r="L58" s="382"/>
      <c r="M58" s="383"/>
      <c r="N58" s="384"/>
      <c r="O58" s="385"/>
      <c r="P58" s="386"/>
      <c r="Q58" s="387"/>
      <c r="R58" s="388"/>
      <c r="S58" s="389"/>
      <c r="T58" s="389"/>
      <c r="U58" s="390"/>
      <c r="V58" s="390"/>
      <c r="W58" s="390"/>
      <c r="X58" s="390"/>
      <c r="Y58" s="391"/>
      <c r="Z58" s="391"/>
      <c r="AA58" s="391"/>
      <c r="AB58" s="391"/>
      <c r="AC58" s="391"/>
    </row>
    <row r="59" spans="1:29" s="220" customFormat="1" ht="27.75" customHeight="1" x14ac:dyDescent="0.25">
      <c r="A59" s="45" t="s">
        <v>42</v>
      </c>
      <c r="B59" s="184"/>
      <c r="C59" s="176" t="s">
        <v>88</v>
      </c>
      <c r="D59" s="46" t="s">
        <v>31</v>
      </c>
      <c r="E59" s="47"/>
      <c r="F59" s="48"/>
      <c r="G59" s="49"/>
      <c r="H59" s="50"/>
      <c r="I59" s="50"/>
      <c r="J59" s="49"/>
      <c r="K59" s="12"/>
      <c r="L59" s="132"/>
      <c r="M59" s="133"/>
      <c r="N59" s="71"/>
      <c r="O59" s="68"/>
      <c r="P59" s="72"/>
      <c r="Q59" s="51"/>
      <c r="R59" s="227"/>
      <c r="S59" s="219"/>
      <c r="T59" s="219"/>
    </row>
    <row r="60" spans="1:29" s="348" customFormat="1" ht="28.5" customHeight="1" x14ac:dyDescent="0.25">
      <c r="A60" s="356" t="s">
        <v>43</v>
      </c>
      <c r="B60" s="331" t="s">
        <v>96</v>
      </c>
      <c r="C60" s="332" t="s">
        <v>88</v>
      </c>
      <c r="D60" s="447" t="s">
        <v>98</v>
      </c>
      <c r="E60" s="334" t="s">
        <v>17</v>
      </c>
      <c r="F60" s="335" t="s">
        <v>18</v>
      </c>
      <c r="G60" s="336">
        <v>1</v>
      </c>
      <c r="H60" s="337">
        <f>932.47+21.9</f>
        <v>954.37</v>
      </c>
      <c r="I60" s="337">
        <f>310.82+31.2</f>
        <v>342.02</v>
      </c>
      <c r="J60" s="338"/>
      <c r="K60" s="339">
        <f t="shared" ref="K60:K83" si="28">ROUND(H60+I60+J60,2)</f>
        <v>1296.3900000000001</v>
      </c>
      <c r="L60" s="340"/>
      <c r="M60" s="341"/>
      <c r="N60" s="342">
        <f>M60</f>
        <v>0</v>
      </c>
      <c r="O60" s="343"/>
      <c r="P60" s="344">
        <f t="shared" ref="P60:P94" si="29">M60*K60</f>
        <v>0</v>
      </c>
      <c r="Q60" s="345">
        <f t="shared" ref="Q60:Q102" si="30">O60+P60</f>
        <v>0</v>
      </c>
      <c r="R60" s="346" t="s">
        <v>48</v>
      </c>
      <c r="S60" s="347"/>
      <c r="T60" s="347"/>
    </row>
    <row r="61" spans="1:29" s="224" customFormat="1" ht="39" customHeight="1" x14ac:dyDescent="0.25">
      <c r="A61" s="52" t="s">
        <v>44</v>
      </c>
      <c r="B61" s="185" t="s">
        <v>97</v>
      </c>
      <c r="C61" s="177"/>
      <c r="D61" s="446" t="s">
        <v>205</v>
      </c>
      <c r="E61" s="64" t="s">
        <v>17</v>
      </c>
      <c r="F61" s="61" t="s">
        <v>18</v>
      </c>
      <c r="G61" s="62">
        <v>1.05</v>
      </c>
      <c r="H61" s="61">
        <f>ROUND(H60*G61,2)</f>
        <v>1002.09</v>
      </c>
      <c r="I61" s="61">
        <f>I60*G61</f>
        <v>359.12099999999998</v>
      </c>
      <c r="J61" s="62"/>
      <c r="K61" s="10">
        <f t="shared" si="28"/>
        <v>1361.21</v>
      </c>
      <c r="L61" s="135"/>
      <c r="M61" s="136"/>
      <c r="N61" s="57">
        <f>L61</f>
        <v>0</v>
      </c>
      <c r="O61" s="58">
        <f t="shared" ref="O61:O97" si="31">L61*K61</f>
        <v>0</v>
      </c>
      <c r="P61" s="59"/>
      <c r="Q61" s="60">
        <f t="shared" si="30"/>
        <v>0</v>
      </c>
      <c r="R61" s="229"/>
      <c r="S61" s="223"/>
      <c r="T61" s="223"/>
    </row>
    <row r="62" spans="1:29" ht="28.5" customHeight="1" x14ac:dyDescent="0.25">
      <c r="A62" s="52" t="s">
        <v>45</v>
      </c>
      <c r="B62" s="185" t="s">
        <v>97</v>
      </c>
      <c r="C62" s="178"/>
      <c r="D62" s="443" t="s">
        <v>199</v>
      </c>
      <c r="E62" s="64" t="s">
        <v>17</v>
      </c>
      <c r="F62" s="90" t="s">
        <v>18</v>
      </c>
      <c r="G62" s="92">
        <v>0.22</v>
      </c>
      <c r="H62" s="64">
        <f>G62*80</f>
        <v>17.600000000000001</v>
      </c>
      <c r="I62" s="64">
        <f>G62*29</f>
        <v>6.38</v>
      </c>
      <c r="J62" s="92"/>
      <c r="K62" s="15">
        <f t="shared" ref="K62" si="32">ROUND(H62+I62+J62,3)</f>
        <v>23.98</v>
      </c>
      <c r="L62" s="137"/>
      <c r="M62" s="138"/>
      <c r="N62" s="57">
        <f t="shared" ref="N62:N64" si="33">L62</f>
        <v>0</v>
      </c>
      <c r="O62" s="58">
        <f t="shared" si="31"/>
        <v>0</v>
      </c>
      <c r="P62" s="59"/>
      <c r="Q62" s="60">
        <f t="shared" si="30"/>
        <v>0</v>
      </c>
      <c r="R62" s="152"/>
    </row>
    <row r="63" spans="1:29" ht="28.5" customHeight="1" x14ac:dyDescent="0.25">
      <c r="A63" s="52" t="s">
        <v>46</v>
      </c>
      <c r="B63" s="185" t="s">
        <v>97</v>
      </c>
      <c r="C63" s="178"/>
      <c r="D63" s="373" t="s">
        <v>204</v>
      </c>
      <c r="E63" s="64" t="s">
        <v>17</v>
      </c>
      <c r="F63" s="90" t="s">
        <v>22</v>
      </c>
      <c r="G63" s="92">
        <v>30</v>
      </c>
      <c r="H63" s="64">
        <f>(H60-80)*G63</f>
        <v>26231.1</v>
      </c>
      <c r="I63" s="64">
        <f>(I60-29)*G63</f>
        <v>9390.5999999999985</v>
      </c>
      <c r="J63" s="92"/>
      <c r="K63" s="10">
        <f t="shared" si="28"/>
        <v>35621.699999999997</v>
      </c>
      <c r="L63" s="162"/>
      <c r="M63" s="138"/>
      <c r="N63" s="57">
        <f t="shared" si="33"/>
        <v>0</v>
      </c>
      <c r="O63" s="58">
        <f t="shared" si="31"/>
        <v>0</v>
      </c>
      <c r="P63" s="59"/>
      <c r="Q63" s="60">
        <f t="shared" si="30"/>
        <v>0</v>
      </c>
      <c r="R63" s="152"/>
    </row>
    <row r="64" spans="1:29" ht="25.5" customHeight="1" x14ac:dyDescent="0.25">
      <c r="A64" s="52" t="s">
        <v>129</v>
      </c>
      <c r="B64" s="185" t="s">
        <v>97</v>
      </c>
      <c r="C64" s="178"/>
      <c r="D64" s="85" t="s">
        <v>106</v>
      </c>
      <c r="E64" s="64" t="s">
        <v>17</v>
      </c>
      <c r="F64" s="90" t="s">
        <v>20</v>
      </c>
      <c r="G64" s="92">
        <v>1.1000000000000001</v>
      </c>
      <c r="H64" s="64">
        <v>1272.5</v>
      </c>
      <c r="I64" s="64">
        <v>410.4</v>
      </c>
      <c r="J64" s="92"/>
      <c r="K64" s="10">
        <f t="shared" si="28"/>
        <v>1682.9</v>
      </c>
      <c r="L64" s="137"/>
      <c r="M64" s="138"/>
      <c r="N64" s="57">
        <f t="shared" si="33"/>
        <v>0</v>
      </c>
      <c r="O64" s="58">
        <f t="shared" si="31"/>
        <v>0</v>
      </c>
      <c r="P64" s="59"/>
      <c r="Q64" s="60">
        <f t="shared" si="30"/>
        <v>0</v>
      </c>
      <c r="R64" s="228"/>
    </row>
    <row r="65" spans="1:20" s="220" customFormat="1" ht="27.75" customHeight="1" x14ac:dyDescent="0.25">
      <c r="A65" s="45" t="s">
        <v>47</v>
      </c>
      <c r="B65" s="184"/>
      <c r="C65" s="176" t="s">
        <v>88</v>
      </c>
      <c r="D65" s="46" t="s">
        <v>32</v>
      </c>
      <c r="E65" s="47"/>
      <c r="F65" s="48"/>
      <c r="G65" s="49"/>
      <c r="H65" s="50"/>
      <c r="I65" s="50"/>
      <c r="J65" s="49"/>
      <c r="K65" s="12"/>
      <c r="L65" s="132"/>
      <c r="M65" s="133"/>
      <c r="N65" s="71"/>
      <c r="O65" s="68"/>
      <c r="P65" s="72"/>
      <c r="Q65" s="51"/>
      <c r="R65" s="227"/>
      <c r="S65" s="219"/>
      <c r="T65" s="219"/>
    </row>
    <row r="66" spans="1:20" s="348" customFormat="1" ht="34.5" customHeight="1" x14ac:dyDescent="0.25">
      <c r="A66" s="356"/>
      <c r="B66" s="331" t="s">
        <v>96</v>
      </c>
      <c r="C66" s="332" t="s">
        <v>88</v>
      </c>
      <c r="D66" s="447" t="s">
        <v>121</v>
      </c>
      <c r="E66" s="334" t="s">
        <v>17</v>
      </c>
      <c r="F66" s="335" t="s">
        <v>18</v>
      </c>
      <c r="G66" s="336">
        <v>1</v>
      </c>
      <c r="H66" s="337">
        <f>1347.9+102.7</f>
        <v>1450.6000000000001</v>
      </c>
      <c r="I66" s="337">
        <f>441.5+125.5</f>
        <v>567</v>
      </c>
      <c r="J66" s="338"/>
      <c r="K66" s="339">
        <f t="shared" si="28"/>
        <v>2017.6</v>
      </c>
      <c r="L66" s="340"/>
      <c r="M66" s="341"/>
      <c r="N66" s="342">
        <f>M66</f>
        <v>0</v>
      </c>
      <c r="O66" s="343"/>
      <c r="P66" s="344">
        <f t="shared" si="29"/>
        <v>0</v>
      </c>
      <c r="Q66" s="345">
        <f t="shared" si="30"/>
        <v>0</v>
      </c>
      <c r="R66" s="346" t="s">
        <v>48</v>
      </c>
      <c r="S66" s="347"/>
      <c r="T66" s="347"/>
    </row>
    <row r="67" spans="1:20" s="224" customFormat="1" ht="16.5" customHeight="1" x14ac:dyDescent="0.25">
      <c r="A67" s="52"/>
      <c r="B67" s="185" t="s">
        <v>97</v>
      </c>
      <c r="C67" s="177"/>
      <c r="D67" s="446" t="s">
        <v>205</v>
      </c>
      <c r="E67" s="53" t="s">
        <v>17</v>
      </c>
      <c r="F67" s="61" t="s">
        <v>18</v>
      </c>
      <c r="G67" s="62">
        <v>1.05</v>
      </c>
      <c r="H67" s="61">
        <f>ROUND(H66*G67,2)</f>
        <v>1523.13</v>
      </c>
      <c r="I67" s="61">
        <f>I66*G67</f>
        <v>595.35</v>
      </c>
      <c r="J67" s="62"/>
      <c r="K67" s="10">
        <f t="shared" si="28"/>
        <v>2118.48</v>
      </c>
      <c r="L67" s="135"/>
      <c r="M67" s="136"/>
      <c r="N67" s="57">
        <f>L67</f>
        <v>0</v>
      </c>
      <c r="O67" s="58">
        <f t="shared" si="31"/>
        <v>0</v>
      </c>
      <c r="P67" s="59"/>
      <c r="Q67" s="60">
        <f t="shared" si="30"/>
        <v>0</v>
      </c>
      <c r="R67" s="229"/>
      <c r="S67" s="223"/>
      <c r="T67" s="223"/>
    </row>
    <row r="68" spans="1:20" s="224" customFormat="1" ht="16.5" customHeight="1" x14ac:dyDescent="0.25">
      <c r="A68" s="52"/>
      <c r="B68" s="185" t="s">
        <v>97</v>
      </c>
      <c r="C68" s="177"/>
      <c r="D68" s="443" t="s">
        <v>199</v>
      </c>
      <c r="E68" s="53" t="s">
        <v>17</v>
      </c>
      <c r="F68" s="90" t="s">
        <v>18</v>
      </c>
      <c r="G68" s="92">
        <v>0.22</v>
      </c>
      <c r="H68" s="64">
        <f>G68*120.9</f>
        <v>26.598000000000003</v>
      </c>
      <c r="I68" s="61">
        <f>47.25*G68</f>
        <v>10.395</v>
      </c>
      <c r="J68" s="62"/>
      <c r="K68" s="15">
        <f t="shared" ref="K68" si="34">ROUND(H68+I68+J68,3)</f>
        <v>36.993000000000002</v>
      </c>
      <c r="L68" s="163"/>
      <c r="M68" s="136"/>
      <c r="N68" s="57">
        <f t="shared" ref="N68:N70" si="35">L68</f>
        <v>0</v>
      </c>
      <c r="O68" s="58">
        <f t="shared" si="31"/>
        <v>0</v>
      </c>
      <c r="P68" s="59"/>
      <c r="Q68" s="60">
        <f t="shared" si="30"/>
        <v>0</v>
      </c>
      <c r="R68" s="229"/>
      <c r="S68" s="223"/>
      <c r="T68" s="223"/>
    </row>
    <row r="69" spans="1:20" ht="26.25" customHeight="1" x14ac:dyDescent="0.25">
      <c r="A69" s="52"/>
      <c r="B69" s="185" t="s">
        <v>97</v>
      </c>
      <c r="C69" s="178"/>
      <c r="D69" s="373" t="s">
        <v>204</v>
      </c>
      <c r="E69" s="53" t="s">
        <v>17</v>
      </c>
      <c r="F69" s="90" t="s">
        <v>22</v>
      </c>
      <c r="G69" s="92">
        <v>30</v>
      </c>
      <c r="H69" s="64">
        <f>(H66-120)*G69</f>
        <v>39918.000000000007</v>
      </c>
      <c r="I69" s="64">
        <f>(I66-47)*G69</f>
        <v>15600</v>
      </c>
      <c r="J69" s="92"/>
      <c r="K69" s="10">
        <f t="shared" si="28"/>
        <v>55518</v>
      </c>
      <c r="L69" s="137"/>
      <c r="M69" s="138"/>
      <c r="N69" s="57">
        <f t="shared" si="35"/>
        <v>0</v>
      </c>
      <c r="O69" s="58">
        <f t="shared" si="31"/>
        <v>0</v>
      </c>
      <c r="P69" s="59"/>
      <c r="Q69" s="60">
        <f t="shared" si="30"/>
        <v>0</v>
      </c>
      <c r="R69" s="152"/>
    </row>
    <row r="70" spans="1:20" ht="24" customHeight="1" x14ac:dyDescent="0.25">
      <c r="A70" s="52"/>
      <c r="B70" s="185" t="s">
        <v>97</v>
      </c>
      <c r="C70" s="178"/>
      <c r="D70" s="85" t="s">
        <v>106</v>
      </c>
      <c r="E70" s="53" t="s">
        <v>17</v>
      </c>
      <c r="F70" s="90" t="s">
        <v>20</v>
      </c>
      <c r="G70" s="92">
        <v>1.1000000000000001</v>
      </c>
      <c r="H70" s="64">
        <v>1934</v>
      </c>
      <c r="I70" s="64">
        <v>756</v>
      </c>
      <c r="J70" s="63"/>
      <c r="K70" s="10">
        <f t="shared" si="28"/>
        <v>2690</v>
      </c>
      <c r="L70" s="137"/>
      <c r="M70" s="138"/>
      <c r="N70" s="57">
        <f t="shared" si="35"/>
        <v>0</v>
      </c>
      <c r="O70" s="58">
        <f t="shared" si="31"/>
        <v>0</v>
      </c>
      <c r="P70" s="59"/>
      <c r="Q70" s="60">
        <f t="shared" si="30"/>
        <v>0</v>
      </c>
      <c r="R70" s="228"/>
    </row>
    <row r="71" spans="1:20" s="93" customFormat="1" ht="23.25" customHeight="1" x14ac:dyDescent="0.25">
      <c r="A71" s="45"/>
      <c r="B71" s="184"/>
      <c r="C71" s="176" t="s">
        <v>88</v>
      </c>
      <c r="D71" s="46" t="s">
        <v>100</v>
      </c>
      <c r="E71" s="47"/>
      <c r="F71" s="48"/>
      <c r="G71" s="49"/>
      <c r="H71" s="50"/>
      <c r="I71" s="50"/>
      <c r="J71" s="49"/>
      <c r="K71" s="12"/>
      <c r="L71" s="132"/>
      <c r="M71" s="133"/>
      <c r="N71" s="71"/>
      <c r="O71" s="68"/>
      <c r="P71" s="72"/>
      <c r="Q71" s="51"/>
      <c r="R71" s="227"/>
      <c r="S71" s="221"/>
      <c r="T71" s="221"/>
    </row>
    <row r="72" spans="1:20" s="348" customFormat="1" ht="36" x14ac:dyDescent="0.25">
      <c r="A72" s="356"/>
      <c r="B72" s="331" t="s">
        <v>96</v>
      </c>
      <c r="C72" s="332" t="s">
        <v>88</v>
      </c>
      <c r="D72" s="333" t="s">
        <v>99</v>
      </c>
      <c r="E72" s="334" t="s">
        <v>17</v>
      </c>
      <c r="F72" s="335" t="s">
        <v>18</v>
      </c>
      <c r="G72" s="362">
        <v>1</v>
      </c>
      <c r="H72" s="339">
        <v>1.93</v>
      </c>
      <c r="I72" s="358">
        <v>3.48</v>
      </c>
      <c r="J72" s="363"/>
      <c r="K72" s="339">
        <f t="shared" si="28"/>
        <v>5.41</v>
      </c>
      <c r="L72" s="360"/>
      <c r="M72" s="361"/>
      <c r="N72" s="342">
        <f>M72</f>
        <v>0</v>
      </c>
      <c r="O72" s="343"/>
      <c r="P72" s="344">
        <f t="shared" ref="P72" si="36">M72*K72</f>
        <v>0</v>
      </c>
      <c r="Q72" s="345">
        <f t="shared" ref="Q72:Q75" si="37">O72+P72</f>
        <v>0</v>
      </c>
      <c r="R72" s="346" t="s">
        <v>48</v>
      </c>
      <c r="S72" s="347"/>
      <c r="T72" s="347"/>
    </row>
    <row r="73" spans="1:20" s="238" customFormat="1" ht="17.25" customHeight="1" x14ac:dyDescent="0.25">
      <c r="A73" s="52"/>
      <c r="B73" s="185" t="s">
        <v>97</v>
      </c>
      <c r="C73" s="191"/>
      <c r="D73" s="443" t="s">
        <v>200</v>
      </c>
      <c r="E73" s="53" t="s">
        <v>17</v>
      </c>
      <c r="F73" s="61" t="s">
        <v>19</v>
      </c>
      <c r="G73" s="168">
        <v>400</v>
      </c>
      <c r="H73" s="61">
        <f>H72*G73</f>
        <v>772</v>
      </c>
      <c r="I73" s="168">
        <f>I72*G73</f>
        <v>1392</v>
      </c>
      <c r="J73" s="166"/>
      <c r="K73" s="10">
        <f t="shared" si="28"/>
        <v>2164</v>
      </c>
      <c r="L73" s="137"/>
      <c r="M73" s="143"/>
      <c r="N73" s="57">
        <f>L73</f>
        <v>0</v>
      </c>
      <c r="O73" s="170">
        <f t="shared" ref="O73:O75" si="38">L73*K73</f>
        <v>0</v>
      </c>
      <c r="P73" s="59"/>
      <c r="Q73" s="60">
        <f t="shared" si="37"/>
        <v>0</v>
      </c>
      <c r="R73" s="222"/>
      <c r="S73" s="237"/>
      <c r="T73" s="237"/>
    </row>
    <row r="74" spans="1:20" s="93" customFormat="1" ht="17.25" customHeight="1" x14ac:dyDescent="0.25">
      <c r="A74" s="52"/>
      <c r="B74" s="185" t="s">
        <v>97</v>
      </c>
      <c r="C74" s="192"/>
      <c r="D74" s="443" t="s">
        <v>199</v>
      </c>
      <c r="E74" s="53" t="s">
        <v>17</v>
      </c>
      <c r="F74" s="90" t="s">
        <v>18</v>
      </c>
      <c r="G74" s="64">
        <v>0.24</v>
      </c>
      <c r="H74" s="61">
        <f>G74*H72</f>
        <v>0.46319999999999995</v>
      </c>
      <c r="I74" s="90">
        <f>I72*G74</f>
        <v>0.83519999999999994</v>
      </c>
      <c r="J74" s="167"/>
      <c r="K74" s="15">
        <f t="shared" ref="K74" si="39">ROUND(H74+I74+J74,3)</f>
        <v>1.298</v>
      </c>
      <c r="L74" s="137"/>
      <c r="M74" s="143"/>
      <c r="N74" s="57">
        <f t="shared" ref="N74:N75" si="40">L74</f>
        <v>0</v>
      </c>
      <c r="O74" s="170">
        <f t="shared" si="38"/>
        <v>0</v>
      </c>
      <c r="P74" s="59"/>
      <c r="Q74" s="60">
        <f t="shared" si="37"/>
        <v>0</v>
      </c>
      <c r="R74" s="152"/>
      <c r="S74" s="221"/>
      <c r="T74" s="221"/>
    </row>
    <row r="75" spans="1:20" s="93" customFormat="1" ht="24.75" customHeight="1" x14ac:dyDescent="0.25">
      <c r="A75" s="52"/>
      <c r="B75" s="185" t="s">
        <v>97</v>
      </c>
      <c r="C75" s="192"/>
      <c r="D75" s="441" t="s">
        <v>106</v>
      </c>
      <c r="E75" s="53" t="s">
        <v>17</v>
      </c>
      <c r="F75" s="90" t="s">
        <v>20</v>
      </c>
      <c r="G75" s="64">
        <v>1.1000000000000001</v>
      </c>
      <c r="H75" s="61">
        <v>11</v>
      </c>
      <c r="I75" s="90">
        <v>20</v>
      </c>
      <c r="J75" s="167"/>
      <c r="K75" s="10">
        <f t="shared" si="28"/>
        <v>31</v>
      </c>
      <c r="L75" s="137"/>
      <c r="M75" s="143"/>
      <c r="N75" s="57">
        <f t="shared" si="40"/>
        <v>0</v>
      </c>
      <c r="O75" s="170">
        <f t="shared" si="38"/>
        <v>0</v>
      </c>
      <c r="P75" s="59"/>
      <c r="Q75" s="60">
        <f t="shared" si="37"/>
        <v>0</v>
      </c>
      <c r="R75" s="226"/>
      <c r="S75" s="221"/>
      <c r="T75" s="221"/>
    </row>
    <row r="76" spans="1:20" s="220" customFormat="1" ht="26.25" customHeight="1" x14ac:dyDescent="0.25">
      <c r="A76" s="45"/>
      <c r="B76" s="184"/>
      <c r="C76" s="176" t="s">
        <v>88</v>
      </c>
      <c r="D76" s="46" t="s">
        <v>33</v>
      </c>
      <c r="E76" s="65"/>
      <c r="F76" s="66"/>
      <c r="G76" s="67"/>
      <c r="H76" s="69"/>
      <c r="I76" s="70"/>
      <c r="J76" s="67"/>
      <c r="K76" s="13"/>
      <c r="L76" s="139"/>
      <c r="M76" s="140"/>
      <c r="N76" s="71"/>
      <c r="O76" s="68"/>
      <c r="P76" s="72"/>
      <c r="Q76" s="51"/>
      <c r="R76" s="227"/>
      <c r="S76" s="219"/>
      <c r="T76" s="219"/>
    </row>
    <row r="77" spans="1:20" s="348" customFormat="1" ht="65.25" customHeight="1" x14ac:dyDescent="0.25">
      <c r="A77" s="356"/>
      <c r="B77" s="331" t="s">
        <v>96</v>
      </c>
      <c r="C77" s="332" t="s">
        <v>88</v>
      </c>
      <c r="D77" s="333" t="s">
        <v>173</v>
      </c>
      <c r="E77" s="334" t="s">
        <v>17</v>
      </c>
      <c r="F77" s="335" t="s">
        <v>20</v>
      </c>
      <c r="G77" s="357">
        <v>1</v>
      </c>
      <c r="H77" s="339">
        <v>8412.92</v>
      </c>
      <c r="I77" s="358">
        <v>3194.01</v>
      </c>
      <c r="J77" s="359"/>
      <c r="K77" s="339">
        <f t="shared" si="28"/>
        <v>11606.93</v>
      </c>
      <c r="L77" s="360"/>
      <c r="M77" s="361"/>
      <c r="N77" s="342">
        <f>M77</f>
        <v>0</v>
      </c>
      <c r="O77" s="343"/>
      <c r="P77" s="344">
        <f t="shared" si="29"/>
        <v>0</v>
      </c>
      <c r="Q77" s="345">
        <f t="shared" si="30"/>
        <v>0</v>
      </c>
      <c r="R77" s="346" t="s">
        <v>48</v>
      </c>
      <c r="S77" s="347"/>
      <c r="T77" s="347"/>
    </row>
    <row r="78" spans="1:20" s="238" customFormat="1" x14ac:dyDescent="0.25">
      <c r="A78" s="52"/>
      <c r="B78" s="185" t="s">
        <v>97</v>
      </c>
      <c r="C78" s="191"/>
      <c r="D78" s="373" t="s">
        <v>203</v>
      </c>
      <c r="E78" s="53" t="s">
        <v>17</v>
      </c>
      <c r="F78" s="61" t="s">
        <v>19</v>
      </c>
      <c r="G78" s="409" t="s">
        <v>120</v>
      </c>
      <c r="H78" s="61">
        <f>ROUND(H77*G78,0)</f>
        <v>25239</v>
      </c>
      <c r="I78" s="61">
        <f>ROUND(I77*G78,0)</f>
        <v>9582</v>
      </c>
      <c r="J78" s="323"/>
      <c r="K78" s="10">
        <f>ROUND(H78+I78+J78,0)</f>
        <v>34821</v>
      </c>
      <c r="L78" s="190"/>
      <c r="M78" s="143"/>
      <c r="N78" s="57">
        <f>L78</f>
        <v>0</v>
      </c>
      <c r="O78" s="170">
        <f>L78*K78</f>
        <v>0</v>
      </c>
      <c r="P78" s="59"/>
      <c r="Q78" s="60">
        <f t="shared" si="30"/>
        <v>0</v>
      </c>
      <c r="R78" s="222"/>
      <c r="S78" s="237"/>
      <c r="T78" s="237"/>
    </row>
    <row r="79" spans="1:20" s="238" customFormat="1" ht="20.25" customHeight="1" x14ac:dyDescent="0.25">
      <c r="A79" s="52"/>
      <c r="B79" s="185" t="s">
        <v>97</v>
      </c>
      <c r="C79" s="324"/>
      <c r="D79" s="443" t="s">
        <v>199</v>
      </c>
      <c r="E79" s="53" t="s">
        <v>17</v>
      </c>
      <c r="F79" s="325" t="s">
        <v>18</v>
      </c>
      <c r="G79" s="326" t="s">
        <v>103</v>
      </c>
      <c r="H79" s="325">
        <f>G79*1402</f>
        <v>28.04</v>
      </c>
      <c r="I79" s="327">
        <f>532.4*G79</f>
        <v>10.648</v>
      </c>
      <c r="J79" s="328"/>
      <c r="K79" s="15">
        <f t="shared" ref="K79" si="41">ROUND(H79+I79+J79,3)</f>
        <v>38.688000000000002</v>
      </c>
      <c r="L79" s="403"/>
      <c r="M79" s="404"/>
      <c r="N79" s="57">
        <f t="shared" ref="N79:N81" si="42">L79</f>
        <v>0</v>
      </c>
      <c r="O79" s="170">
        <f t="shared" si="31"/>
        <v>0</v>
      </c>
      <c r="P79" s="59"/>
      <c r="Q79" s="60">
        <f t="shared" si="30"/>
        <v>0</v>
      </c>
      <c r="R79" s="405"/>
      <c r="S79" s="237"/>
      <c r="T79" s="237"/>
    </row>
    <row r="80" spans="1:20" s="238" customFormat="1" ht="20.25" customHeight="1" x14ac:dyDescent="0.25">
      <c r="A80" s="52"/>
      <c r="B80" s="185" t="s">
        <v>97</v>
      </c>
      <c r="C80" s="324"/>
      <c r="D80" s="443" t="s">
        <v>198</v>
      </c>
      <c r="E80" s="53" t="s">
        <v>17</v>
      </c>
      <c r="F80" s="325" t="s">
        <v>22</v>
      </c>
      <c r="G80" s="326" t="s">
        <v>104</v>
      </c>
      <c r="H80" s="325">
        <f>(H77-1402)*G80</f>
        <v>14021.84</v>
      </c>
      <c r="I80" s="327">
        <f>(I77-532.4)*G80</f>
        <v>5323.22</v>
      </c>
      <c r="J80" s="328"/>
      <c r="K80" s="10">
        <f t="shared" ref="K80:K81" si="43">ROUND(H80+I80+J80,2)</f>
        <v>19345.060000000001</v>
      </c>
      <c r="L80" s="403"/>
      <c r="M80" s="404"/>
      <c r="N80" s="57">
        <f t="shared" si="42"/>
        <v>0</v>
      </c>
      <c r="O80" s="170">
        <f t="shared" si="31"/>
        <v>0</v>
      </c>
      <c r="P80" s="59"/>
      <c r="Q80" s="60">
        <f t="shared" si="30"/>
        <v>0</v>
      </c>
      <c r="R80" s="405"/>
      <c r="S80" s="237"/>
      <c r="T80" s="237"/>
    </row>
    <row r="81" spans="1:20" s="93" customFormat="1" ht="26.25" customHeight="1" x14ac:dyDescent="0.25">
      <c r="A81" s="52"/>
      <c r="B81" s="185" t="s">
        <v>97</v>
      </c>
      <c r="C81" s="192"/>
      <c r="D81" s="85" t="s">
        <v>106</v>
      </c>
      <c r="E81" s="53" t="s">
        <v>17</v>
      </c>
      <c r="F81" s="90" t="s">
        <v>20</v>
      </c>
      <c r="G81" s="329" t="s">
        <v>105</v>
      </c>
      <c r="H81" s="61">
        <v>449</v>
      </c>
      <c r="I81" s="90">
        <v>170.4</v>
      </c>
      <c r="J81" s="330"/>
      <c r="K81" s="10">
        <f t="shared" si="43"/>
        <v>619.4</v>
      </c>
      <c r="L81" s="190"/>
      <c r="M81" s="143"/>
      <c r="N81" s="57">
        <f t="shared" si="42"/>
        <v>0</v>
      </c>
      <c r="O81" s="170">
        <f t="shared" si="31"/>
        <v>0</v>
      </c>
      <c r="P81" s="59"/>
      <c r="Q81" s="60">
        <f t="shared" si="30"/>
        <v>0</v>
      </c>
      <c r="R81" s="152"/>
      <c r="S81" s="221"/>
      <c r="T81" s="221"/>
    </row>
    <row r="82" spans="1:20" s="220" customFormat="1" ht="23.25" customHeight="1" x14ac:dyDescent="0.25">
      <c r="A82" s="45"/>
      <c r="B82" s="184"/>
      <c r="C82" s="176" t="s">
        <v>88</v>
      </c>
      <c r="D82" s="46" t="s">
        <v>34</v>
      </c>
      <c r="E82" s="65"/>
      <c r="F82" s="66"/>
      <c r="G82" s="65"/>
      <c r="H82" s="65"/>
      <c r="I82" s="65"/>
      <c r="J82" s="67"/>
      <c r="K82" s="13"/>
      <c r="L82" s="139"/>
      <c r="M82" s="140"/>
      <c r="N82" s="71"/>
      <c r="O82" s="68"/>
      <c r="P82" s="72"/>
      <c r="Q82" s="51"/>
      <c r="R82" s="227"/>
      <c r="S82" s="219"/>
      <c r="T82" s="219"/>
    </row>
    <row r="83" spans="1:20" s="348" customFormat="1" ht="36" x14ac:dyDescent="0.25">
      <c r="A83" s="356"/>
      <c r="B83" s="331" t="s">
        <v>96</v>
      </c>
      <c r="C83" s="332" t="s">
        <v>88</v>
      </c>
      <c r="D83" s="333" t="s">
        <v>101</v>
      </c>
      <c r="E83" s="334" t="s">
        <v>17</v>
      </c>
      <c r="F83" s="335" t="s">
        <v>20</v>
      </c>
      <c r="G83" s="362">
        <v>1</v>
      </c>
      <c r="H83" s="339">
        <v>77.430000000000007</v>
      </c>
      <c r="I83" s="358">
        <v>55.72</v>
      </c>
      <c r="J83" s="363"/>
      <c r="K83" s="339">
        <f t="shared" si="28"/>
        <v>133.15</v>
      </c>
      <c r="L83" s="360"/>
      <c r="M83" s="361"/>
      <c r="N83" s="342">
        <f>M83</f>
        <v>0</v>
      </c>
      <c r="O83" s="343"/>
      <c r="P83" s="344">
        <f t="shared" si="29"/>
        <v>0</v>
      </c>
      <c r="Q83" s="345">
        <f t="shared" si="30"/>
        <v>0</v>
      </c>
      <c r="R83" s="346" t="s">
        <v>48</v>
      </c>
      <c r="S83" s="347"/>
      <c r="T83" s="347"/>
    </row>
    <row r="84" spans="1:20" s="238" customFormat="1" ht="16.5" customHeight="1" x14ac:dyDescent="0.25">
      <c r="A84" s="52"/>
      <c r="B84" s="185" t="s">
        <v>97</v>
      </c>
      <c r="C84" s="191"/>
      <c r="D84" s="443" t="s">
        <v>200</v>
      </c>
      <c r="E84" s="53" t="s">
        <v>17</v>
      </c>
      <c r="F84" s="61" t="s">
        <v>19</v>
      </c>
      <c r="G84" s="168">
        <v>51</v>
      </c>
      <c r="H84" s="61">
        <f>ROUND(H83*G84,0)</f>
        <v>3949</v>
      </c>
      <c r="I84" s="61">
        <f>I83*G84</f>
        <v>2841.72</v>
      </c>
      <c r="J84" s="166"/>
      <c r="K84" s="10">
        <f>ROUND(H84+I84+J84,2)</f>
        <v>6790.72</v>
      </c>
      <c r="L84" s="190"/>
      <c r="M84" s="143"/>
      <c r="N84" s="57">
        <f>L84</f>
        <v>0</v>
      </c>
      <c r="O84" s="170">
        <f t="shared" si="31"/>
        <v>0</v>
      </c>
      <c r="P84" s="59"/>
      <c r="Q84" s="60">
        <f t="shared" si="30"/>
        <v>0</v>
      </c>
      <c r="R84" s="222"/>
      <c r="S84" s="237"/>
      <c r="T84" s="237"/>
    </row>
    <row r="85" spans="1:20" s="93" customFormat="1" x14ac:dyDescent="0.25">
      <c r="A85" s="52"/>
      <c r="B85" s="185" t="s">
        <v>97</v>
      </c>
      <c r="C85" s="192"/>
      <c r="D85" s="443" t="s">
        <v>199</v>
      </c>
      <c r="E85" s="53" t="s">
        <v>17</v>
      </c>
      <c r="F85" s="90" t="s">
        <v>18</v>
      </c>
      <c r="G85" s="64">
        <v>0.02</v>
      </c>
      <c r="H85" s="61">
        <f>G85*H83</f>
        <v>1.5486000000000002</v>
      </c>
      <c r="I85" s="90">
        <f>G85*I83</f>
        <v>1.1144000000000001</v>
      </c>
      <c r="J85" s="167"/>
      <c r="K85" s="15">
        <f t="shared" ref="K85" si="44">ROUND(H85+I85+J85,3)</f>
        <v>2.6629999999999998</v>
      </c>
      <c r="L85" s="190"/>
      <c r="M85" s="143"/>
      <c r="N85" s="57">
        <f t="shared" ref="N85:N86" si="45">L85</f>
        <v>0</v>
      </c>
      <c r="O85" s="170">
        <f t="shared" si="31"/>
        <v>0</v>
      </c>
      <c r="P85" s="59"/>
      <c r="Q85" s="60">
        <f t="shared" si="30"/>
        <v>0</v>
      </c>
      <c r="R85" s="152"/>
      <c r="S85" s="221"/>
      <c r="T85" s="221"/>
    </row>
    <row r="86" spans="1:20" s="93" customFormat="1" ht="21" customHeight="1" x14ac:dyDescent="0.25">
      <c r="A86" s="52"/>
      <c r="B86" s="185" t="s">
        <v>97</v>
      </c>
      <c r="C86" s="192"/>
      <c r="D86" s="441" t="s">
        <v>106</v>
      </c>
      <c r="E86" s="53" t="s">
        <v>17</v>
      </c>
      <c r="F86" s="90" t="s">
        <v>20</v>
      </c>
      <c r="G86" s="64">
        <v>1.1000000000000001</v>
      </c>
      <c r="H86" s="61">
        <v>49</v>
      </c>
      <c r="I86" s="90">
        <v>34</v>
      </c>
      <c r="J86" s="167"/>
      <c r="K86" s="10">
        <f t="shared" ref="K86:K102" si="46">ROUND(H86+I86+J86,2)</f>
        <v>83</v>
      </c>
      <c r="L86" s="190"/>
      <c r="M86" s="143"/>
      <c r="N86" s="57">
        <f t="shared" si="45"/>
        <v>0</v>
      </c>
      <c r="O86" s="170">
        <f t="shared" si="31"/>
        <v>0</v>
      </c>
      <c r="P86" s="59"/>
      <c r="Q86" s="60">
        <f t="shared" si="30"/>
        <v>0</v>
      </c>
      <c r="R86" s="226"/>
      <c r="S86" s="221"/>
      <c r="T86" s="221"/>
    </row>
    <row r="87" spans="1:20" s="220" customFormat="1" ht="20.25" customHeight="1" x14ac:dyDescent="0.25">
      <c r="A87" s="45"/>
      <c r="B87" s="184" t="s">
        <v>96</v>
      </c>
      <c r="C87" s="176" t="s">
        <v>88</v>
      </c>
      <c r="D87" s="88" t="s">
        <v>171</v>
      </c>
      <c r="E87" s="47" t="s">
        <v>17</v>
      </c>
      <c r="F87" s="48" t="s">
        <v>19</v>
      </c>
      <c r="G87" s="49">
        <v>1</v>
      </c>
      <c r="H87" s="84">
        <v>5</v>
      </c>
      <c r="I87" s="84">
        <v>7</v>
      </c>
      <c r="J87" s="83"/>
      <c r="K87" s="10">
        <f t="shared" si="46"/>
        <v>12</v>
      </c>
      <c r="L87" s="139"/>
      <c r="M87" s="140"/>
      <c r="N87" s="71">
        <f>M87</f>
        <v>0</v>
      </c>
      <c r="O87" s="68"/>
      <c r="P87" s="72">
        <f t="shared" si="29"/>
        <v>0</v>
      </c>
      <c r="Q87" s="51">
        <f t="shared" si="30"/>
        <v>0</v>
      </c>
      <c r="R87" s="227"/>
      <c r="S87" s="219"/>
      <c r="T87" s="219"/>
    </row>
    <row r="88" spans="1:20" s="93" customFormat="1" ht="20.25" customHeight="1" x14ac:dyDescent="0.25">
      <c r="A88" s="52"/>
      <c r="B88" s="185" t="s">
        <v>97</v>
      </c>
      <c r="C88" s="182"/>
      <c r="D88" s="393" t="s">
        <v>202</v>
      </c>
      <c r="E88" s="53" t="s">
        <v>17</v>
      </c>
      <c r="F88" s="54" t="s">
        <v>19</v>
      </c>
      <c r="G88" s="95">
        <v>1</v>
      </c>
      <c r="H88" s="438">
        <v>1</v>
      </c>
      <c r="I88" s="96"/>
      <c r="J88" s="55"/>
      <c r="K88" s="10">
        <f t="shared" si="46"/>
        <v>1</v>
      </c>
      <c r="L88" s="190"/>
      <c r="M88" s="143"/>
      <c r="N88" s="57">
        <f>L88</f>
        <v>0</v>
      </c>
      <c r="O88" s="170">
        <f t="shared" si="31"/>
        <v>0</v>
      </c>
      <c r="P88" s="59"/>
      <c r="Q88" s="60">
        <f t="shared" si="30"/>
        <v>0</v>
      </c>
      <c r="R88" s="226"/>
      <c r="S88" s="221"/>
      <c r="T88" s="221"/>
    </row>
    <row r="89" spans="1:20" s="93" customFormat="1" ht="20.25" customHeight="1" x14ac:dyDescent="0.25">
      <c r="A89" s="52"/>
      <c r="B89" s="185" t="s">
        <v>97</v>
      </c>
      <c r="C89" s="182"/>
      <c r="D89" s="393" t="s">
        <v>189</v>
      </c>
      <c r="E89" s="53" t="s">
        <v>17</v>
      </c>
      <c r="F89" s="54" t="s">
        <v>19</v>
      </c>
      <c r="G89" s="95">
        <v>1</v>
      </c>
      <c r="H89" s="236"/>
      <c r="I89" s="438">
        <v>2</v>
      </c>
      <c r="J89" s="55"/>
      <c r="K89" s="10">
        <f t="shared" si="46"/>
        <v>2</v>
      </c>
      <c r="L89" s="190"/>
      <c r="M89" s="143"/>
      <c r="N89" s="57">
        <f t="shared" ref="N89:N93" si="47">L89</f>
        <v>0</v>
      </c>
      <c r="O89" s="170">
        <f t="shared" si="31"/>
        <v>0</v>
      </c>
      <c r="P89" s="59"/>
      <c r="Q89" s="60">
        <f t="shared" si="30"/>
        <v>0</v>
      </c>
      <c r="R89" s="226"/>
      <c r="S89" s="221"/>
      <c r="T89" s="221"/>
    </row>
    <row r="90" spans="1:20" s="93" customFormat="1" ht="20.25" customHeight="1" x14ac:dyDescent="0.25">
      <c r="A90" s="52"/>
      <c r="B90" s="185" t="s">
        <v>97</v>
      </c>
      <c r="C90" s="182"/>
      <c r="D90" s="393" t="s">
        <v>187</v>
      </c>
      <c r="E90" s="53" t="s">
        <v>17</v>
      </c>
      <c r="F90" s="54" t="s">
        <v>19</v>
      </c>
      <c r="G90" s="95">
        <v>1</v>
      </c>
      <c r="H90" s="236"/>
      <c r="I90" s="438">
        <v>1</v>
      </c>
      <c r="J90" s="55"/>
      <c r="K90" s="10">
        <f t="shared" si="46"/>
        <v>1</v>
      </c>
      <c r="L90" s="190"/>
      <c r="M90" s="143"/>
      <c r="N90" s="57">
        <f t="shared" si="47"/>
        <v>0</v>
      </c>
      <c r="O90" s="170">
        <f t="shared" si="31"/>
        <v>0</v>
      </c>
      <c r="P90" s="59"/>
      <c r="Q90" s="60">
        <f t="shared" si="30"/>
        <v>0</v>
      </c>
      <c r="R90" s="226"/>
      <c r="S90" s="221"/>
      <c r="T90" s="221"/>
    </row>
    <row r="91" spans="1:20" s="93" customFormat="1" ht="20.25" customHeight="1" x14ac:dyDescent="0.25">
      <c r="A91" s="52"/>
      <c r="B91" s="185" t="s">
        <v>97</v>
      </c>
      <c r="C91" s="182"/>
      <c r="D91" s="398" t="s">
        <v>188</v>
      </c>
      <c r="E91" s="53" t="s">
        <v>17</v>
      </c>
      <c r="F91" s="54" t="s">
        <v>19</v>
      </c>
      <c r="G91" s="95">
        <v>1</v>
      </c>
      <c r="H91" s="236"/>
      <c r="I91" s="438">
        <v>2</v>
      </c>
      <c r="J91" s="55"/>
      <c r="K91" s="10">
        <f t="shared" si="46"/>
        <v>2</v>
      </c>
      <c r="L91" s="190"/>
      <c r="M91" s="143"/>
      <c r="N91" s="57">
        <f t="shared" si="47"/>
        <v>0</v>
      </c>
      <c r="O91" s="170">
        <f t="shared" si="31"/>
        <v>0</v>
      </c>
      <c r="P91" s="59"/>
      <c r="Q91" s="60">
        <f t="shared" si="30"/>
        <v>0</v>
      </c>
      <c r="R91" s="226"/>
      <c r="S91" s="221"/>
      <c r="T91" s="221"/>
    </row>
    <row r="92" spans="1:20" s="93" customFormat="1" ht="20.25" customHeight="1" x14ac:dyDescent="0.25">
      <c r="A92" s="52"/>
      <c r="B92" s="185" t="s">
        <v>97</v>
      </c>
      <c r="C92" s="198"/>
      <c r="D92" s="443" t="s">
        <v>199</v>
      </c>
      <c r="E92" s="53" t="s">
        <v>17</v>
      </c>
      <c r="F92" s="199" t="s">
        <v>18</v>
      </c>
      <c r="G92" s="203">
        <v>1</v>
      </c>
      <c r="H92" s="204">
        <v>0.20100000000000001</v>
      </c>
      <c r="I92" s="204"/>
      <c r="J92" s="200"/>
      <c r="K92" s="15">
        <f t="shared" ref="K92" si="48">ROUND(H92+I92+J92,3)</f>
        <v>0.20100000000000001</v>
      </c>
      <c r="L92" s="410"/>
      <c r="M92" s="197"/>
      <c r="N92" s="57">
        <f t="shared" si="47"/>
        <v>0</v>
      </c>
      <c r="O92" s="170">
        <f t="shared" si="31"/>
        <v>0</v>
      </c>
      <c r="P92" s="59"/>
      <c r="Q92" s="60">
        <f t="shared" si="30"/>
        <v>0</v>
      </c>
      <c r="R92" s="235"/>
      <c r="S92" s="221"/>
      <c r="T92" s="221"/>
    </row>
    <row r="93" spans="1:20" s="93" customFormat="1" ht="20.25" customHeight="1" x14ac:dyDescent="0.25">
      <c r="A93" s="52"/>
      <c r="B93" s="185" t="s">
        <v>97</v>
      </c>
      <c r="C93" s="198"/>
      <c r="D93" s="442" t="s">
        <v>197</v>
      </c>
      <c r="E93" s="53" t="s">
        <v>17</v>
      </c>
      <c r="F93" s="199" t="s">
        <v>21</v>
      </c>
      <c r="G93" s="203">
        <v>1.04</v>
      </c>
      <c r="H93" s="204">
        <f>0.034*G93</f>
        <v>3.5360000000000003E-2</v>
      </c>
      <c r="I93" s="204"/>
      <c r="J93" s="200"/>
      <c r="K93" s="10">
        <f t="shared" si="46"/>
        <v>0.04</v>
      </c>
      <c r="L93" s="410"/>
      <c r="M93" s="197"/>
      <c r="N93" s="57">
        <f t="shared" si="47"/>
        <v>0</v>
      </c>
      <c r="O93" s="170">
        <f t="shared" si="31"/>
        <v>0</v>
      </c>
      <c r="P93" s="59"/>
      <c r="Q93" s="60">
        <f t="shared" si="30"/>
        <v>0</v>
      </c>
      <c r="R93" s="235"/>
      <c r="S93" s="221"/>
      <c r="T93" s="221"/>
    </row>
    <row r="94" spans="1:20" s="220" customFormat="1" ht="20.25" customHeight="1" x14ac:dyDescent="0.25">
      <c r="A94" s="45"/>
      <c r="B94" s="184" t="s">
        <v>96</v>
      </c>
      <c r="C94" s="176" t="s">
        <v>88</v>
      </c>
      <c r="D94" s="88" t="s">
        <v>174</v>
      </c>
      <c r="E94" s="47" t="s">
        <v>17</v>
      </c>
      <c r="F94" s="48" t="s">
        <v>19</v>
      </c>
      <c r="G94" s="49">
        <v>1</v>
      </c>
      <c r="H94" s="84">
        <f>156+117+32+66+33+68+68+33+99+64+64+33+34+66+29+316</f>
        <v>1278</v>
      </c>
      <c r="I94" s="84"/>
      <c r="J94" s="83"/>
      <c r="K94" s="10">
        <f t="shared" si="46"/>
        <v>1278</v>
      </c>
      <c r="L94" s="139"/>
      <c r="M94" s="140"/>
      <c r="N94" s="71">
        <f>M94</f>
        <v>0</v>
      </c>
      <c r="O94" s="68"/>
      <c r="P94" s="72">
        <f t="shared" si="29"/>
        <v>0</v>
      </c>
      <c r="Q94" s="51">
        <f t="shared" si="30"/>
        <v>0</v>
      </c>
      <c r="R94" s="227"/>
      <c r="S94" s="219"/>
      <c r="T94" s="219"/>
    </row>
    <row r="95" spans="1:20" s="93" customFormat="1" ht="20.25" customHeight="1" x14ac:dyDescent="0.25">
      <c r="A95" s="52"/>
      <c r="B95" s="185" t="s">
        <v>97</v>
      </c>
      <c r="C95" s="198"/>
      <c r="D95" s="431" t="s">
        <v>190</v>
      </c>
      <c r="E95" s="53" t="s">
        <v>17</v>
      </c>
      <c r="F95" s="54" t="s">
        <v>19</v>
      </c>
      <c r="G95" s="95">
        <v>1</v>
      </c>
      <c r="H95" s="204">
        <v>251</v>
      </c>
      <c r="I95" s="204"/>
      <c r="J95" s="200"/>
      <c r="K95" s="10">
        <f t="shared" si="46"/>
        <v>251</v>
      </c>
      <c r="L95" s="190"/>
      <c r="M95" s="143"/>
      <c r="N95" s="57">
        <f>L95</f>
        <v>0</v>
      </c>
      <c r="O95" s="170">
        <f t="shared" si="31"/>
        <v>0</v>
      </c>
      <c r="P95" s="59"/>
      <c r="Q95" s="60">
        <f t="shared" si="30"/>
        <v>0</v>
      </c>
      <c r="R95" s="235"/>
      <c r="S95" s="221"/>
      <c r="T95" s="221"/>
    </row>
    <row r="96" spans="1:20" s="93" customFormat="1" ht="20.25" customHeight="1" x14ac:dyDescent="0.25">
      <c r="A96" s="52"/>
      <c r="B96" s="185" t="s">
        <v>97</v>
      </c>
      <c r="C96" s="198"/>
      <c r="D96" s="431" t="s">
        <v>191</v>
      </c>
      <c r="E96" s="53" t="s">
        <v>17</v>
      </c>
      <c r="F96" s="54" t="s">
        <v>19</v>
      </c>
      <c r="G96" s="95">
        <v>1</v>
      </c>
      <c r="H96" s="204">
        <v>54</v>
      </c>
      <c r="I96" s="204"/>
      <c r="J96" s="200"/>
      <c r="K96" s="10">
        <f t="shared" si="46"/>
        <v>54</v>
      </c>
      <c r="L96" s="190"/>
      <c r="M96" s="143"/>
      <c r="N96" s="57">
        <f t="shared" ref="N96:N100" si="49">L96</f>
        <v>0</v>
      </c>
      <c r="O96" s="170">
        <f t="shared" si="31"/>
        <v>0</v>
      </c>
      <c r="P96" s="59"/>
      <c r="Q96" s="60">
        <f t="shared" si="30"/>
        <v>0</v>
      </c>
      <c r="R96" s="235"/>
      <c r="S96" s="221"/>
      <c r="T96" s="221"/>
    </row>
    <row r="97" spans="1:20" s="93" customFormat="1" ht="20.25" customHeight="1" x14ac:dyDescent="0.25">
      <c r="A97" s="52"/>
      <c r="B97" s="185" t="s">
        <v>97</v>
      </c>
      <c r="C97" s="198"/>
      <c r="D97" s="393" t="s">
        <v>192</v>
      </c>
      <c r="E97" s="53" t="s">
        <v>17</v>
      </c>
      <c r="F97" s="54" t="s">
        <v>19</v>
      </c>
      <c r="G97" s="95">
        <v>1</v>
      </c>
      <c r="H97" s="204">
        <v>15</v>
      </c>
      <c r="I97" s="204"/>
      <c r="J97" s="200"/>
      <c r="K97" s="10">
        <f t="shared" si="46"/>
        <v>15</v>
      </c>
      <c r="L97" s="190"/>
      <c r="M97" s="143"/>
      <c r="N97" s="57">
        <f t="shared" si="49"/>
        <v>0</v>
      </c>
      <c r="O97" s="170">
        <f t="shared" si="31"/>
        <v>0</v>
      </c>
      <c r="P97" s="59"/>
      <c r="Q97" s="60">
        <f t="shared" si="30"/>
        <v>0</v>
      </c>
      <c r="R97" s="235"/>
      <c r="S97" s="221"/>
      <c r="T97" s="221"/>
    </row>
    <row r="98" spans="1:20" s="93" customFormat="1" ht="20.25" customHeight="1" x14ac:dyDescent="0.25">
      <c r="A98" s="52"/>
      <c r="B98" s="185" t="s">
        <v>97</v>
      </c>
      <c r="C98" s="198"/>
      <c r="D98" s="393" t="s">
        <v>193</v>
      </c>
      <c r="E98" s="53" t="s">
        <v>17</v>
      </c>
      <c r="F98" s="54" t="s">
        <v>19</v>
      </c>
      <c r="G98" s="95">
        <v>1</v>
      </c>
      <c r="H98" s="204">
        <v>17</v>
      </c>
      <c r="I98" s="204"/>
      <c r="J98" s="200"/>
      <c r="K98" s="10">
        <f t="shared" si="46"/>
        <v>17</v>
      </c>
      <c r="L98" s="190"/>
      <c r="M98" s="143"/>
      <c r="N98" s="57">
        <f t="shared" si="49"/>
        <v>0</v>
      </c>
      <c r="O98" s="170">
        <f>L98*K98</f>
        <v>0</v>
      </c>
      <c r="P98" s="59"/>
      <c r="Q98" s="60">
        <f t="shared" si="30"/>
        <v>0</v>
      </c>
      <c r="R98" s="235"/>
      <c r="S98" s="221"/>
      <c r="T98" s="221"/>
    </row>
    <row r="99" spans="1:20" s="93" customFormat="1" ht="20.25" customHeight="1" x14ac:dyDescent="0.25">
      <c r="A99" s="52"/>
      <c r="B99" s="185" t="s">
        <v>97</v>
      </c>
      <c r="C99" s="198"/>
      <c r="D99" s="321" t="s">
        <v>194</v>
      </c>
      <c r="E99" s="53" t="s">
        <v>17</v>
      </c>
      <c r="F99" s="199" t="s">
        <v>21</v>
      </c>
      <c r="G99" s="203">
        <v>1.04</v>
      </c>
      <c r="H99" s="204">
        <f>0.038*G99</f>
        <v>3.952E-2</v>
      </c>
      <c r="I99" s="204"/>
      <c r="J99" s="200"/>
      <c r="K99" s="10">
        <f t="shared" si="46"/>
        <v>0.04</v>
      </c>
      <c r="L99" s="190"/>
      <c r="M99" s="143"/>
      <c r="N99" s="57">
        <f t="shared" si="49"/>
        <v>0</v>
      </c>
      <c r="O99" s="170">
        <f t="shared" ref="O99:O101" si="50">L99*K99</f>
        <v>0</v>
      </c>
      <c r="P99" s="59"/>
      <c r="Q99" s="60">
        <f t="shared" si="30"/>
        <v>0</v>
      </c>
      <c r="R99" s="235"/>
      <c r="S99" s="221"/>
      <c r="T99" s="221"/>
    </row>
    <row r="100" spans="1:20" s="93" customFormat="1" ht="20.25" customHeight="1" x14ac:dyDescent="0.25">
      <c r="A100" s="349"/>
      <c r="B100" s="350"/>
      <c r="C100" s="395"/>
      <c r="D100" s="440" t="s">
        <v>201</v>
      </c>
      <c r="E100" s="53" t="s">
        <v>17</v>
      </c>
      <c r="F100" s="369" t="s">
        <v>21</v>
      </c>
      <c r="G100" s="370">
        <v>1.04</v>
      </c>
      <c r="H100" s="396">
        <f>0.012*G100</f>
        <v>1.2480000000000002E-2</v>
      </c>
      <c r="I100" s="396"/>
      <c r="J100" s="397"/>
      <c r="K100" s="10">
        <f t="shared" si="46"/>
        <v>0.01</v>
      </c>
      <c r="L100" s="402"/>
      <c r="M100" s="365"/>
      <c r="N100" s="57">
        <f t="shared" si="49"/>
        <v>0</v>
      </c>
      <c r="O100" s="170">
        <f t="shared" si="50"/>
        <v>0</v>
      </c>
      <c r="P100" s="59"/>
      <c r="Q100" s="366"/>
      <c r="R100" s="367"/>
      <c r="S100" s="221"/>
      <c r="T100" s="221"/>
    </row>
    <row r="101" spans="1:20" s="93" customFormat="1" ht="20.25" customHeight="1" x14ac:dyDescent="0.25">
      <c r="A101" s="52"/>
      <c r="B101" s="185" t="s">
        <v>97</v>
      </c>
      <c r="C101" s="198"/>
      <c r="D101" s="443" t="s">
        <v>199</v>
      </c>
      <c r="E101" s="53" t="s">
        <v>17</v>
      </c>
      <c r="F101" s="199" t="s">
        <v>18</v>
      </c>
      <c r="G101" s="203">
        <v>1</v>
      </c>
      <c r="H101" s="204">
        <f>2.42*G101</f>
        <v>2.42</v>
      </c>
      <c r="I101" s="204"/>
      <c r="J101" s="200"/>
      <c r="K101" s="15">
        <f t="shared" ref="K101" si="51">ROUND(H101+I101+J101,3)</f>
        <v>2.42</v>
      </c>
      <c r="L101" s="190"/>
      <c r="M101" s="143"/>
      <c r="N101" s="57">
        <f>L101</f>
        <v>0</v>
      </c>
      <c r="O101" s="170">
        <f t="shared" si="50"/>
        <v>0</v>
      </c>
      <c r="P101" s="59"/>
      <c r="Q101" s="60">
        <f t="shared" si="30"/>
        <v>0</v>
      </c>
      <c r="R101" s="235"/>
      <c r="S101" s="221"/>
      <c r="T101" s="221"/>
    </row>
    <row r="102" spans="1:20" s="93" customFormat="1" ht="20.25" customHeight="1" x14ac:dyDescent="0.25">
      <c r="A102" s="52"/>
      <c r="B102" s="185" t="s">
        <v>97</v>
      </c>
      <c r="C102" s="198"/>
      <c r="D102" s="442" t="s">
        <v>197</v>
      </c>
      <c r="E102" s="53" t="s">
        <v>17</v>
      </c>
      <c r="F102" s="199" t="s">
        <v>21</v>
      </c>
      <c r="G102" s="203">
        <v>1.04</v>
      </c>
      <c r="H102" s="204">
        <f>3.097*G102</f>
        <v>3.2208800000000002</v>
      </c>
      <c r="I102" s="204"/>
      <c r="J102" s="200"/>
      <c r="K102" s="10">
        <f t="shared" si="46"/>
        <v>3.22</v>
      </c>
      <c r="L102" s="190"/>
      <c r="M102" s="143"/>
      <c r="N102" s="57">
        <f>L102</f>
        <v>0</v>
      </c>
      <c r="O102" s="170">
        <f>L102*K102</f>
        <v>0</v>
      </c>
      <c r="P102" s="59"/>
      <c r="Q102" s="60">
        <f t="shared" si="30"/>
        <v>0</v>
      </c>
      <c r="R102" s="235"/>
      <c r="S102" s="221"/>
      <c r="T102" s="221"/>
    </row>
    <row r="103" spans="1:20" s="218" customFormat="1" ht="20.25" customHeight="1" x14ac:dyDescent="0.25">
      <c r="A103" s="309"/>
      <c r="B103" s="299"/>
      <c r="C103" s="300"/>
      <c r="D103" s="308" t="s">
        <v>116</v>
      </c>
      <c r="E103" s="257" t="s">
        <v>17</v>
      </c>
      <c r="F103" s="301"/>
      <c r="G103" s="302"/>
      <c r="H103" s="303"/>
      <c r="I103" s="303"/>
      <c r="J103" s="304"/>
      <c r="K103" s="411"/>
      <c r="L103" s="305"/>
      <c r="M103" s="306"/>
      <c r="N103" s="267"/>
      <c r="O103" s="268"/>
      <c r="P103" s="269"/>
      <c r="Q103" s="270"/>
      <c r="R103" s="307"/>
      <c r="S103" s="254"/>
      <c r="T103" s="254"/>
    </row>
    <row r="104" spans="1:20" s="220" customFormat="1" ht="20.25" customHeight="1" x14ac:dyDescent="0.25">
      <c r="A104" s="310"/>
      <c r="B104" s="311" t="s">
        <v>96</v>
      </c>
      <c r="C104" s="416" t="s">
        <v>175</v>
      </c>
      <c r="D104" s="312" t="s">
        <v>196</v>
      </c>
      <c r="E104" s="313" t="s">
        <v>17</v>
      </c>
      <c r="F104" s="313" t="s">
        <v>20</v>
      </c>
      <c r="G104" s="313"/>
      <c r="H104" s="314">
        <v>12</v>
      </c>
      <c r="I104" s="314"/>
      <c r="J104" s="315"/>
      <c r="K104" s="13">
        <f>ROUND(H104+I104+J104,2)</f>
        <v>12</v>
      </c>
      <c r="L104" s="316"/>
      <c r="M104" s="417"/>
      <c r="N104" s="71">
        <f>M104</f>
        <v>0</v>
      </c>
      <c r="O104" s="68"/>
      <c r="P104" s="72">
        <f t="shared" ref="P104" si="52">M104*K104</f>
        <v>0</v>
      </c>
      <c r="Q104" s="51">
        <f t="shared" ref="Q104:Q106" si="53">O104+P104</f>
        <v>0</v>
      </c>
      <c r="R104" s="317"/>
      <c r="S104" s="219"/>
      <c r="T104" s="219"/>
    </row>
    <row r="105" spans="1:20" s="93" customFormat="1" ht="28.5" customHeight="1" x14ac:dyDescent="0.25">
      <c r="A105" s="293"/>
      <c r="B105" s="294" t="s">
        <v>97</v>
      </c>
      <c r="C105" s="318"/>
      <c r="D105" s="412" t="s">
        <v>172</v>
      </c>
      <c r="E105" s="413" t="s">
        <v>17</v>
      </c>
      <c r="F105" s="413" t="s">
        <v>20</v>
      </c>
      <c r="G105" s="414">
        <v>1</v>
      </c>
      <c r="H105" s="295">
        <f>H104*G105</f>
        <v>12</v>
      </c>
      <c r="I105" s="295"/>
      <c r="J105" s="296"/>
      <c r="K105" s="10">
        <f>ROUND(H105+I105+J105,2)</f>
        <v>12</v>
      </c>
      <c r="L105" s="415"/>
      <c r="M105" s="297"/>
      <c r="N105" s="57">
        <f>L105</f>
        <v>0</v>
      </c>
      <c r="O105" s="170">
        <f t="shared" ref="O105" si="54">L105*K105</f>
        <v>0</v>
      </c>
      <c r="P105" s="59"/>
      <c r="Q105" s="60">
        <f t="shared" si="53"/>
        <v>0</v>
      </c>
      <c r="R105" s="298"/>
      <c r="S105" s="221"/>
      <c r="T105" s="221"/>
    </row>
    <row r="106" spans="1:20" s="93" customFormat="1" ht="28.5" customHeight="1" x14ac:dyDescent="0.25">
      <c r="A106" s="293"/>
      <c r="B106" s="294" t="s">
        <v>97</v>
      </c>
      <c r="C106" s="318"/>
      <c r="D106" s="412" t="s">
        <v>114</v>
      </c>
      <c r="E106" s="413" t="s">
        <v>17</v>
      </c>
      <c r="F106" s="413" t="s">
        <v>20</v>
      </c>
      <c r="G106" s="414">
        <v>1.05</v>
      </c>
      <c r="H106" s="295">
        <f>H105*G106</f>
        <v>12.600000000000001</v>
      </c>
      <c r="I106" s="295"/>
      <c r="J106" s="296"/>
      <c r="K106" s="10">
        <f>ROUND(H106+I106+J106,2)</f>
        <v>12.6</v>
      </c>
      <c r="L106" s="415"/>
      <c r="M106" s="297"/>
      <c r="N106" s="57">
        <f>L106</f>
        <v>0</v>
      </c>
      <c r="O106" s="170">
        <f>L106*K106</f>
        <v>0</v>
      </c>
      <c r="P106" s="59"/>
      <c r="Q106" s="60">
        <f t="shared" si="53"/>
        <v>0</v>
      </c>
      <c r="R106" s="298"/>
      <c r="S106" s="221"/>
      <c r="T106" s="221"/>
    </row>
    <row r="107" spans="1:20" s="218" customFormat="1" ht="20.25" customHeight="1" x14ac:dyDescent="0.25">
      <c r="A107" s="255"/>
      <c r="B107" s="247" t="s">
        <v>115</v>
      </c>
      <c r="C107" s="248" t="s">
        <v>176</v>
      </c>
      <c r="D107" s="266" t="s">
        <v>110</v>
      </c>
      <c r="E107" s="249" t="s">
        <v>17</v>
      </c>
      <c r="F107" s="250" t="s">
        <v>185</v>
      </c>
      <c r="G107" s="251"/>
      <c r="H107" s="265">
        <f>H108+H109</f>
        <v>552</v>
      </c>
      <c r="I107" s="265"/>
      <c r="J107" s="265"/>
      <c r="K107" s="265">
        <f t="shared" ref="K107" si="55">K108+K109</f>
        <v>552</v>
      </c>
      <c r="L107" s="418"/>
      <c r="M107" s="252"/>
      <c r="N107" s="267">
        <f>M107</f>
        <v>0</v>
      </c>
      <c r="O107" s="268"/>
      <c r="P107" s="269">
        <f>M107*K107</f>
        <v>0</v>
      </c>
      <c r="Q107" s="270">
        <f>O107+P107</f>
        <v>0</v>
      </c>
      <c r="R107" s="253"/>
      <c r="S107" s="254"/>
      <c r="T107" s="254"/>
    </row>
    <row r="108" spans="1:20" s="348" customFormat="1" ht="55.5" customHeight="1" x14ac:dyDescent="0.25">
      <c r="A108" s="448"/>
      <c r="B108" s="449"/>
      <c r="C108" s="450"/>
      <c r="D108" s="451" t="s">
        <v>207</v>
      </c>
      <c r="E108" s="452" t="s">
        <v>17</v>
      </c>
      <c r="F108" s="453" t="s">
        <v>185</v>
      </c>
      <c r="G108" s="454"/>
      <c r="H108" s="455">
        <f>15*12</f>
        <v>180</v>
      </c>
      <c r="I108" s="455"/>
      <c r="J108" s="456"/>
      <c r="K108" s="457">
        <f>H108+I108+J108</f>
        <v>180</v>
      </c>
      <c r="L108" s="458"/>
      <c r="M108" s="472"/>
      <c r="N108" s="57">
        <f t="shared" ref="N108:N109" si="56">M108</f>
        <v>0</v>
      </c>
      <c r="O108" s="170"/>
      <c r="P108" s="59">
        <f>M108*K108</f>
        <v>0</v>
      </c>
      <c r="Q108" s="60">
        <f t="shared" ref="Q108:Q109" si="57">O108+P108</f>
        <v>0</v>
      </c>
      <c r="R108" s="459"/>
      <c r="S108" s="347"/>
      <c r="T108" s="347"/>
    </row>
    <row r="109" spans="1:20" s="348" customFormat="1" ht="20.25" customHeight="1" x14ac:dyDescent="0.25">
      <c r="A109" s="448"/>
      <c r="B109" s="449"/>
      <c r="C109" s="450"/>
      <c r="D109" s="451" t="s">
        <v>206</v>
      </c>
      <c r="E109" s="452" t="s">
        <v>17</v>
      </c>
      <c r="F109" s="453" t="s">
        <v>185</v>
      </c>
      <c r="G109" s="454"/>
      <c r="H109" s="455">
        <v>372</v>
      </c>
      <c r="I109" s="455"/>
      <c r="J109" s="456"/>
      <c r="K109" s="457">
        <f>H109+I109+J109</f>
        <v>372</v>
      </c>
      <c r="L109" s="458"/>
      <c r="M109" s="472"/>
      <c r="N109" s="57">
        <f t="shared" si="56"/>
        <v>0</v>
      </c>
      <c r="O109" s="170"/>
      <c r="P109" s="59">
        <f t="shared" ref="P109" si="58">M109*K109</f>
        <v>0</v>
      </c>
      <c r="Q109" s="60">
        <f t="shared" si="57"/>
        <v>0</v>
      </c>
      <c r="R109" s="459"/>
      <c r="S109" s="347"/>
      <c r="T109" s="347"/>
    </row>
    <row r="110" spans="1:20" s="262" customFormat="1" ht="22.5" customHeight="1" x14ac:dyDescent="0.2">
      <c r="A110" s="255"/>
      <c r="B110" s="256" t="s">
        <v>109</v>
      </c>
      <c r="C110" s="248" t="s">
        <v>177</v>
      </c>
      <c r="D110" s="263" t="s">
        <v>108</v>
      </c>
      <c r="E110" s="257" t="s">
        <v>17</v>
      </c>
      <c r="F110" s="258" t="s">
        <v>111</v>
      </c>
      <c r="G110" s="264"/>
      <c r="H110" s="264">
        <v>2</v>
      </c>
      <c r="I110" s="264"/>
      <c r="J110" s="264"/>
      <c r="K110" s="411">
        <f>ROUND(H110+I110+J110,2)</f>
        <v>2</v>
      </c>
      <c r="L110" s="419"/>
      <c r="M110" s="259"/>
      <c r="N110" s="267">
        <f>L110+M110</f>
        <v>0</v>
      </c>
      <c r="O110" s="268"/>
      <c r="P110" s="269">
        <f>M110*K110</f>
        <v>0</v>
      </c>
      <c r="Q110" s="270">
        <f>O110+P110</f>
        <v>0</v>
      </c>
      <c r="R110" s="260"/>
      <c r="S110" s="261"/>
      <c r="T110" s="261"/>
    </row>
    <row r="111" spans="1:20" s="348" customFormat="1" ht="73.5" customHeight="1" x14ac:dyDescent="0.25">
      <c r="A111" s="460"/>
      <c r="B111" s="461"/>
      <c r="C111" s="462"/>
      <c r="D111" s="463" t="s">
        <v>195</v>
      </c>
      <c r="E111" s="334" t="s">
        <v>17</v>
      </c>
      <c r="F111" s="464" t="s">
        <v>111</v>
      </c>
      <c r="G111" s="465"/>
      <c r="H111" s="465">
        <v>2</v>
      </c>
      <c r="I111" s="465"/>
      <c r="J111" s="466"/>
      <c r="K111" s="467">
        <f t="shared" ref="K111" si="59">H111</f>
        <v>2</v>
      </c>
      <c r="L111" s="468"/>
      <c r="M111" s="469"/>
      <c r="N111" s="470"/>
      <c r="O111" s="343"/>
      <c r="P111" s="344"/>
      <c r="Q111" s="345"/>
      <c r="R111" s="471"/>
      <c r="S111" s="347"/>
      <c r="T111" s="347"/>
    </row>
    <row r="112" spans="1:20" ht="21.75" customHeight="1" x14ac:dyDescent="0.25">
      <c r="A112" s="11"/>
      <c r="B112" s="189"/>
      <c r="C112" s="183"/>
      <c r="D112" s="1" t="s">
        <v>23</v>
      </c>
      <c r="E112" s="1"/>
      <c r="F112" s="1"/>
      <c r="G112" s="245"/>
      <c r="H112" s="8"/>
      <c r="I112" s="8"/>
      <c r="J112" s="8"/>
      <c r="K112" s="2"/>
      <c r="L112" s="6"/>
      <c r="M112" s="2"/>
      <c r="N112" s="2"/>
      <c r="O112" s="2"/>
      <c r="P112" s="2"/>
      <c r="Q112" s="5">
        <f>SUM(Q13:Q107)+Q110</f>
        <v>0</v>
      </c>
      <c r="R112" s="228"/>
    </row>
    <row r="113" spans="1:20" ht="21.75" customHeight="1" thickBot="1" x14ac:dyDescent="0.3">
      <c r="A113" s="97"/>
      <c r="B113" s="175"/>
      <c r="C113" s="98"/>
      <c r="D113" s="3" t="s">
        <v>25</v>
      </c>
      <c r="E113" s="3"/>
      <c r="F113" s="3"/>
      <c r="G113" s="246"/>
      <c r="H113" s="9"/>
      <c r="I113" s="9"/>
      <c r="J113" s="9"/>
      <c r="K113" s="2"/>
      <c r="L113" s="7"/>
      <c r="M113" s="4"/>
      <c r="N113" s="99"/>
      <c r="O113" s="99"/>
      <c r="P113" s="4"/>
      <c r="Q113" s="100">
        <f>Q112/1.22*0.22</f>
        <v>0</v>
      </c>
      <c r="R113" s="228"/>
    </row>
    <row r="114" spans="1:20" x14ac:dyDescent="0.25">
      <c r="K114" s="445"/>
    </row>
    <row r="115" spans="1:20" ht="24.75" customHeight="1" x14ac:dyDescent="0.25">
      <c r="A115" s="101" t="s">
        <v>24</v>
      </c>
      <c r="B115" s="101"/>
    </row>
    <row r="116" spans="1:20" s="103" customFormat="1" ht="40.5" customHeight="1" x14ac:dyDescent="0.25">
      <c r="A116" s="483" t="s">
        <v>95</v>
      </c>
      <c r="B116" s="483"/>
      <c r="C116" s="483"/>
      <c r="D116" s="483"/>
      <c r="E116" s="483"/>
      <c r="F116" s="483"/>
      <c r="G116" s="483"/>
      <c r="H116" s="483"/>
      <c r="I116" s="483"/>
      <c r="J116" s="483"/>
      <c r="K116" s="483"/>
      <c r="L116" s="483"/>
      <c r="M116" s="483"/>
      <c r="N116" s="483"/>
      <c r="O116" s="483"/>
      <c r="P116" s="483"/>
      <c r="Q116" s="483"/>
      <c r="R116" s="16"/>
      <c r="S116" s="16"/>
      <c r="T116" s="16"/>
    </row>
    <row r="117" spans="1:20" s="103" customFormat="1" ht="24" customHeight="1" x14ac:dyDescent="0.25">
      <c r="A117" s="484" t="s">
        <v>89</v>
      </c>
      <c r="B117" s="484"/>
      <c r="C117" s="484"/>
      <c r="D117" s="484"/>
      <c r="E117" s="484"/>
      <c r="F117" s="484"/>
      <c r="G117" s="484"/>
      <c r="H117" s="484"/>
      <c r="I117" s="484"/>
      <c r="J117" s="484"/>
      <c r="K117" s="484"/>
      <c r="L117" s="484"/>
      <c r="M117" s="484"/>
      <c r="N117" s="484"/>
      <c r="O117" s="484"/>
      <c r="P117" s="484"/>
      <c r="Q117" s="484"/>
      <c r="R117" s="16"/>
      <c r="S117" s="16"/>
      <c r="T117" s="16"/>
    </row>
    <row r="118" spans="1:20" s="103" customFormat="1" ht="42.75" customHeight="1" x14ac:dyDescent="0.25">
      <c r="A118" s="484" t="s">
        <v>90</v>
      </c>
      <c r="B118" s="484"/>
      <c r="C118" s="484"/>
      <c r="D118" s="484"/>
      <c r="E118" s="484"/>
      <c r="F118" s="484"/>
      <c r="G118" s="484"/>
      <c r="H118" s="484"/>
      <c r="I118" s="484"/>
      <c r="J118" s="484"/>
      <c r="K118" s="484"/>
      <c r="L118" s="484"/>
      <c r="M118" s="484"/>
      <c r="N118" s="484"/>
      <c r="O118" s="484"/>
      <c r="P118" s="484"/>
      <c r="Q118" s="484"/>
      <c r="R118" s="16"/>
      <c r="S118" s="16"/>
      <c r="T118" s="16"/>
    </row>
    <row r="119" spans="1:20" s="103" customFormat="1" ht="27.75" customHeight="1" x14ac:dyDescent="0.25">
      <c r="A119" s="484" t="s">
        <v>91</v>
      </c>
      <c r="B119" s="484"/>
      <c r="C119" s="484"/>
      <c r="D119" s="484"/>
      <c r="E119" s="484"/>
      <c r="F119" s="484"/>
      <c r="G119" s="484"/>
      <c r="H119" s="484"/>
      <c r="I119" s="484"/>
      <c r="J119" s="484"/>
      <c r="K119" s="484"/>
      <c r="L119" s="484"/>
      <c r="M119" s="484"/>
      <c r="N119" s="484"/>
      <c r="O119" s="484"/>
      <c r="P119" s="484"/>
      <c r="Q119" s="484"/>
      <c r="R119" s="16"/>
      <c r="S119" s="16"/>
      <c r="T119" s="16"/>
    </row>
    <row r="120" spans="1:20" s="165" customFormat="1" ht="21" customHeight="1" x14ac:dyDescent="0.25">
      <c r="A120" s="485" t="s">
        <v>92</v>
      </c>
      <c r="B120" s="485"/>
      <c r="C120" s="485"/>
      <c r="D120" s="485"/>
      <c r="E120" s="485"/>
      <c r="F120" s="485"/>
      <c r="G120" s="485"/>
      <c r="H120" s="485"/>
      <c r="I120" s="485"/>
      <c r="J120" s="485"/>
      <c r="K120" s="485"/>
      <c r="L120" s="485"/>
      <c r="M120" s="485"/>
      <c r="N120" s="485"/>
      <c r="O120" s="485"/>
      <c r="P120" s="485"/>
      <c r="Q120" s="485"/>
      <c r="R120" s="485"/>
      <c r="S120" s="240"/>
      <c r="T120" s="240"/>
    </row>
    <row r="121" spans="1:20" s="165" customFormat="1" ht="25.5" customHeight="1" x14ac:dyDescent="0.25">
      <c r="A121" s="172" t="s">
        <v>184</v>
      </c>
      <c r="B121" s="172"/>
      <c r="C121" s="164"/>
      <c r="G121" s="195"/>
      <c r="R121" s="241"/>
      <c r="S121" s="240"/>
      <c r="T121" s="240"/>
    </row>
    <row r="124" spans="1:20" s="277" customFormat="1" ht="15.75" x14ac:dyDescent="0.25">
      <c r="A124" s="271" t="s">
        <v>49</v>
      </c>
      <c r="B124" s="271"/>
      <c r="C124" s="272"/>
      <c r="D124" s="271"/>
      <c r="E124" s="272"/>
      <c r="F124" s="273"/>
      <c r="G124" s="274"/>
      <c r="H124" s="273"/>
      <c r="I124" s="273"/>
      <c r="J124" s="273"/>
      <c r="K124" s="273"/>
      <c r="L124" s="275"/>
      <c r="M124" s="273"/>
      <c r="N124" s="276"/>
      <c r="O124" s="276"/>
      <c r="R124" s="278"/>
      <c r="S124" s="279"/>
      <c r="T124" s="279"/>
    </row>
    <row r="125" spans="1:20" s="282" customFormat="1" ht="15.75" x14ac:dyDescent="0.25">
      <c r="A125" s="280" t="s">
        <v>50</v>
      </c>
      <c r="B125" s="280"/>
      <c r="C125" s="281"/>
      <c r="E125" s="281"/>
      <c r="F125" s="283"/>
      <c r="G125" s="283"/>
      <c r="H125" s="283"/>
      <c r="I125" s="283"/>
      <c r="J125" s="283"/>
      <c r="K125" s="283"/>
      <c r="L125" s="283"/>
      <c r="M125" s="283"/>
      <c r="N125" s="283"/>
      <c r="O125" s="283"/>
      <c r="R125" s="284"/>
      <c r="S125" s="285"/>
      <c r="T125" s="285"/>
    </row>
    <row r="126" spans="1:20" s="282" customFormat="1" ht="15.75" x14ac:dyDescent="0.25">
      <c r="A126" s="280" t="s">
        <v>51</v>
      </c>
      <c r="B126" s="280"/>
      <c r="C126" s="286"/>
      <c r="D126" s="280"/>
      <c r="E126" s="286"/>
      <c r="F126" s="274"/>
      <c r="G126" s="274"/>
      <c r="H126" s="274"/>
      <c r="I126" s="274"/>
      <c r="J126" s="274"/>
      <c r="K126" s="274"/>
      <c r="L126" s="287"/>
      <c r="M126" s="274"/>
      <c r="N126" s="283"/>
      <c r="O126" s="283"/>
      <c r="R126" s="284"/>
      <c r="S126" s="285"/>
      <c r="T126" s="285"/>
    </row>
    <row r="127" spans="1:20" s="282" customFormat="1" ht="15.75" x14ac:dyDescent="0.25">
      <c r="A127" s="288" t="s">
        <v>52</v>
      </c>
      <c r="B127" s="288"/>
      <c r="C127" s="289"/>
      <c r="D127" s="288"/>
      <c r="E127" s="286"/>
      <c r="F127" s="274"/>
      <c r="G127" s="274"/>
      <c r="H127" s="274"/>
      <c r="I127" s="274"/>
      <c r="J127" s="274"/>
      <c r="K127" s="274"/>
      <c r="L127" s="287"/>
      <c r="M127" s="274"/>
      <c r="N127" s="283"/>
      <c r="O127" s="283"/>
      <c r="R127" s="284"/>
      <c r="S127" s="285"/>
      <c r="T127" s="285"/>
    </row>
    <row r="128" spans="1:20" s="282" customFormat="1" ht="15.75" x14ac:dyDescent="0.25">
      <c r="A128" s="288" t="s">
        <v>53</v>
      </c>
      <c r="B128" s="288"/>
      <c r="C128" s="289"/>
      <c r="D128" s="288"/>
      <c r="E128" s="286"/>
      <c r="F128" s="274"/>
      <c r="G128" s="274"/>
      <c r="H128" s="274"/>
      <c r="I128" s="274"/>
      <c r="J128" s="274"/>
      <c r="K128" s="274"/>
      <c r="L128" s="287"/>
      <c r="M128" s="274"/>
      <c r="N128" s="283"/>
      <c r="O128" s="283"/>
      <c r="R128" s="284"/>
      <c r="S128" s="285"/>
      <c r="T128" s="285"/>
    </row>
    <row r="129" spans="1:20" s="282" customFormat="1" ht="20.25" customHeight="1" x14ac:dyDescent="0.25">
      <c r="A129" s="482" t="s">
        <v>186</v>
      </c>
      <c r="B129" s="482"/>
      <c r="C129" s="482"/>
      <c r="D129" s="482"/>
      <c r="E129" s="286"/>
      <c r="F129" s="274"/>
      <c r="G129" s="274"/>
      <c r="H129" s="274"/>
      <c r="I129" s="274"/>
      <c r="J129" s="274"/>
      <c r="K129" s="274"/>
      <c r="L129" s="287"/>
      <c r="M129" s="274"/>
      <c r="N129" s="283"/>
      <c r="O129" s="283"/>
      <c r="R129" s="284"/>
      <c r="S129" s="285"/>
      <c r="T129" s="285"/>
    </row>
    <row r="130" spans="1:20" s="282" customFormat="1" ht="19.5" customHeight="1" x14ac:dyDescent="0.25">
      <c r="A130" s="482" t="s">
        <v>113</v>
      </c>
      <c r="B130" s="482"/>
      <c r="C130" s="482"/>
      <c r="D130" s="482"/>
      <c r="E130" s="290"/>
      <c r="F130" s="274"/>
      <c r="G130" s="274"/>
      <c r="H130" s="274"/>
      <c r="I130" s="274"/>
      <c r="J130" s="274"/>
      <c r="K130" s="274"/>
      <c r="L130" s="287"/>
      <c r="M130" s="274"/>
      <c r="N130" s="283"/>
      <c r="O130" s="283"/>
      <c r="R130" s="284"/>
      <c r="S130" s="285"/>
      <c r="T130" s="285"/>
    </row>
    <row r="131" spans="1:20" s="282" customFormat="1" ht="19.5" customHeight="1" x14ac:dyDescent="0.25">
      <c r="A131" s="288" t="s">
        <v>112</v>
      </c>
      <c r="B131" s="427"/>
      <c r="C131" s="427"/>
      <c r="D131" s="427"/>
      <c r="E131" s="290"/>
      <c r="F131" s="274"/>
      <c r="G131" s="274"/>
      <c r="H131" s="274"/>
      <c r="I131" s="274"/>
      <c r="J131" s="274"/>
      <c r="K131" s="274"/>
      <c r="L131" s="287"/>
      <c r="M131" s="274"/>
      <c r="N131" s="283"/>
      <c r="O131" s="283"/>
      <c r="R131" s="284"/>
      <c r="S131" s="285"/>
      <c r="T131" s="285"/>
    </row>
    <row r="132" spans="1:20" s="282" customFormat="1" ht="15.75" x14ac:dyDescent="0.25">
      <c r="A132" s="288" t="s">
        <v>54</v>
      </c>
      <c r="B132" s="288"/>
      <c r="C132" s="289"/>
      <c r="D132" s="288"/>
      <c r="E132" s="286"/>
      <c r="F132" s="274"/>
      <c r="G132" s="274"/>
      <c r="H132" s="274"/>
      <c r="I132" s="274"/>
      <c r="J132" s="274"/>
      <c r="K132" s="274"/>
      <c r="L132" s="287"/>
      <c r="M132" s="274"/>
      <c r="N132" s="283"/>
      <c r="O132" s="283"/>
      <c r="R132" s="284"/>
      <c r="S132" s="285"/>
      <c r="T132" s="285"/>
    </row>
    <row r="133" spans="1:20" s="282" customFormat="1" ht="15.75" x14ac:dyDescent="0.25">
      <c r="A133" s="288" t="s">
        <v>55</v>
      </c>
      <c r="B133" s="288"/>
      <c r="C133" s="289"/>
      <c r="D133" s="288"/>
      <c r="E133" s="286"/>
      <c r="F133" s="274"/>
      <c r="G133" s="274"/>
      <c r="H133" s="274"/>
      <c r="I133" s="274"/>
      <c r="J133" s="274"/>
      <c r="K133" s="274"/>
      <c r="L133" s="274"/>
      <c r="M133" s="274"/>
      <c r="N133" s="283"/>
      <c r="O133" s="283"/>
      <c r="R133" s="284"/>
      <c r="S133" s="285"/>
      <c r="T133" s="285"/>
    </row>
    <row r="134" spans="1:20" s="282" customFormat="1" ht="15.75" x14ac:dyDescent="0.25">
      <c r="A134" s="288" t="s">
        <v>56</v>
      </c>
      <c r="B134" s="288"/>
      <c r="C134" s="289"/>
      <c r="D134" s="288"/>
      <c r="E134" s="286"/>
      <c r="F134" s="274"/>
      <c r="G134" s="274"/>
      <c r="H134" s="274"/>
      <c r="I134" s="274"/>
      <c r="J134" s="274"/>
      <c r="K134" s="274"/>
      <c r="L134" s="274"/>
      <c r="M134" s="274"/>
      <c r="N134" s="283"/>
      <c r="O134" s="283"/>
      <c r="R134" s="284"/>
      <c r="S134" s="285"/>
      <c r="T134" s="285"/>
    </row>
    <row r="135" spans="1:20" s="282" customFormat="1" ht="15.75" x14ac:dyDescent="0.25">
      <c r="A135" s="288" t="s">
        <v>57</v>
      </c>
      <c r="B135" s="288"/>
      <c r="C135" s="289"/>
      <c r="D135" s="288"/>
      <c r="E135" s="286"/>
      <c r="F135" s="274"/>
      <c r="G135" s="274"/>
      <c r="H135" s="274"/>
      <c r="I135" s="274"/>
      <c r="J135" s="274"/>
      <c r="K135" s="274"/>
      <c r="L135" s="287"/>
      <c r="M135" s="274"/>
      <c r="N135" s="283"/>
      <c r="O135" s="283"/>
      <c r="R135" s="284"/>
      <c r="S135" s="285"/>
      <c r="T135" s="285"/>
    </row>
    <row r="136" spans="1:20" s="281" customFormat="1" ht="15.75" x14ac:dyDescent="0.25">
      <c r="A136" s="288" t="s">
        <v>58</v>
      </c>
      <c r="B136" s="288"/>
      <c r="C136" s="289"/>
      <c r="D136" s="289"/>
      <c r="E136" s="286"/>
      <c r="F136" s="274"/>
      <c r="G136" s="274"/>
      <c r="H136" s="274"/>
      <c r="I136" s="274"/>
      <c r="J136" s="274"/>
      <c r="K136" s="274"/>
      <c r="L136" s="274"/>
      <c r="M136" s="274"/>
      <c r="N136" s="283"/>
      <c r="O136" s="283"/>
      <c r="R136" s="291"/>
      <c r="S136" s="292"/>
      <c r="T136" s="292"/>
    </row>
    <row r="137" spans="1:20" s="281" customFormat="1" ht="15.75" x14ac:dyDescent="0.25">
      <c r="A137" s="288" t="s">
        <v>59</v>
      </c>
      <c r="B137" s="288"/>
      <c r="C137" s="289"/>
      <c r="D137" s="289"/>
      <c r="E137" s="286"/>
      <c r="F137" s="274"/>
      <c r="G137" s="274"/>
      <c r="H137" s="274"/>
      <c r="I137" s="274"/>
      <c r="J137" s="274"/>
      <c r="K137" s="274"/>
      <c r="L137" s="274"/>
      <c r="M137" s="274"/>
      <c r="N137" s="283"/>
      <c r="O137" s="283"/>
      <c r="R137" s="291"/>
      <c r="S137" s="292"/>
      <c r="T137" s="292"/>
    </row>
    <row r="138" spans="1:20" s="282" customFormat="1" ht="15.75" x14ac:dyDescent="0.25">
      <c r="A138" s="288" t="s">
        <v>60</v>
      </c>
      <c r="B138" s="288"/>
      <c r="C138" s="289"/>
      <c r="D138" s="288"/>
      <c r="E138" s="286"/>
      <c r="F138" s="274"/>
      <c r="G138" s="274"/>
      <c r="H138" s="274"/>
      <c r="I138" s="274"/>
      <c r="J138" s="274"/>
      <c r="K138" s="274"/>
      <c r="L138" s="287"/>
      <c r="M138" s="274"/>
      <c r="N138" s="283"/>
      <c r="O138" s="283"/>
      <c r="R138" s="284"/>
      <c r="S138" s="285"/>
      <c r="T138" s="285"/>
    </row>
    <row r="139" spans="1:20" s="282" customFormat="1" ht="15.75" x14ac:dyDescent="0.25">
      <c r="A139" s="288" t="s">
        <v>61</v>
      </c>
      <c r="B139" s="288"/>
      <c r="C139" s="289"/>
      <c r="D139" s="288"/>
      <c r="E139" s="286"/>
      <c r="F139" s="274"/>
      <c r="G139" s="274"/>
      <c r="H139" s="274"/>
      <c r="I139" s="274"/>
      <c r="J139" s="274"/>
      <c r="K139" s="274"/>
      <c r="L139" s="274"/>
      <c r="M139" s="274"/>
      <c r="N139" s="283"/>
      <c r="O139" s="283"/>
      <c r="R139" s="284"/>
      <c r="S139" s="285"/>
      <c r="T139" s="285"/>
    </row>
    <row r="140" spans="1:20" s="282" customFormat="1" ht="15.75" x14ac:dyDescent="0.25">
      <c r="A140" s="288" t="s">
        <v>62</v>
      </c>
      <c r="B140" s="288"/>
      <c r="C140" s="289"/>
      <c r="D140" s="288"/>
      <c r="E140" s="286"/>
      <c r="F140" s="274"/>
      <c r="G140" s="274"/>
      <c r="H140" s="274"/>
      <c r="I140" s="274"/>
      <c r="J140" s="274"/>
      <c r="K140" s="274"/>
      <c r="L140" s="287"/>
      <c r="M140" s="274"/>
      <c r="N140" s="283"/>
      <c r="O140" s="283"/>
      <c r="R140" s="284"/>
      <c r="S140" s="285"/>
      <c r="T140" s="285"/>
    </row>
    <row r="141" spans="1:20" s="282" customFormat="1" ht="15.75" x14ac:dyDescent="0.25">
      <c r="A141" s="288" t="s">
        <v>63</v>
      </c>
      <c r="B141" s="288"/>
      <c r="C141" s="289"/>
      <c r="D141" s="288"/>
      <c r="E141" s="286"/>
      <c r="F141" s="274"/>
      <c r="G141" s="274"/>
      <c r="H141" s="274"/>
      <c r="I141" s="274"/>
      <c r="J141" s="274"/>
      <c r="K141" s="274"/>
      <c r="L141" s="274"/>
      <c r="M141" s="274"/>
      <c r="N141" s="283"/>
      <c r="O141" s="283"/>
      <c r="R141" s="284"/>
      <c r="S141" s="285"/>
      <c r="T141" s="285"/>
    </row>
    <row r="142" spans="1:20" s="282" customFormat="1" ht="15.75" x14ac:dyDescent="0.25">
      <c r="A142" s="288" t="s">
        <v>64</v>
      </c>
      <c r="B142" s="288"/>
      <c r="C142" s="289"/>
      <c r="D142" s="288"/>
      <c r="E142" s="286"/>
      <c r="F142" s="274"/>
      <c r="G142" s="274"/>
      <c r="H142" s="274"/>
      <c r="I142" s="274"/>
      <c r="J142" s="274"/>
      <c r="K142" s="274"/>
      <c r="L142" s="287"/>
      <c r="M142" s="274"/>
      <c r="N142" s="283"/>
      <c r="O142" s="283"/>
      <c r="R142" s="284"/>
      <c r="S142" s="285"/>
      <c r="T142" s="285"/>
    </row>
    <row r="143" spans="1:20" s="282" customFormat="1" ht="15.75" x14ac:dyDescent="0.25">
      <c r="A143" s="288" t="s">
        <v>65</v>
      </c>
      <c r="B143" s="288"/>
      <c r="C143" s="289"/>
      <c r="D143" s="288"/>
      <c r="E143" s="286"/>
      <c r="F143" s="274"/>
      <c r="G143" s="274"/>
      <c r="H143" s="274"/>
      <c r="I143" s="274"/>
      <c r="J143" s="274"/>
      <c r="K143" s="274"/>
      <c r="L143" s="287"/>
      <c r="M143" s="274"/>
      <c r="N143" s="283"/>
      <c r="O143" s="283"/>
      <c r="R143" s="284"/>
      <c r="S143" s="285"/>
      <c r="T143" s="285"/>
    </row>
    <row r="144" spans="1:20" s="282" customFormat="1" ht="15.75" x14ac:dyDescent="0.25">
      <c r="A144" s="288" t="s">
        <v>66</v>
      </c>
      <c r="B144" s="288"/>
      <c r="C144" s="289"/>
      <c r="D144" s="288"/>
      <c r="E144" s="286"/>
      <c r="F144" s="274"/>
      <c r="G144" s="274"/>
      <c r="H144" s="274"/>
      <c r="I144" s="274"/>
      <c r="J144" s="274"/>
      <c r="K144" s="274"/>
      <c r="L144" s="274"/>
      <c r="M144" s="274"/>
      <c r="N144" s="283"/>
      <c r="O144" s="283"/>
      <c r="R144" s="284"/>
      <c r="S144" s="285"/>
      <c r="T144" s="285"/>
    </row>
    <row r="145" spans="1:20" s="282" customFormat="1" ht="15.75" x14ac:dyDescent="0.25">
      <c r="A145" s="288" t="s">
        <v>67</v>
      </c>
      <c r="B145" s="288"/>
      <c r="C145" s="289"/>
      <c r="D145" s="288"/>
      <c r="E145" s="286"/>
      <c r="F145" s="274"/>
      <c r="G145" s="274"/>
      <c r="H145" s="274"/>
      <c r="I145" s="274"/>
      <c r="J145" s="274"/>
      <c r="K145" s="274"/>
      <c r="L145" s="274"/>
      <c r="M145" s="274"/>
      <c r="N145" s="283"/>
      <c r="O145" s="283"/>
      <c r="R145" s="284"/>
      <c r="S145" s="285"/>
      <c r="T145" s="285"/>
    </row>
    <row r="146" spans="1:20" s="282" customFormat="1" ht="15.75" x14ac:dyDescent="0.25">
      <c r="A146" s="288" t="s">
        <v>68</v>
      </c>
      <c r="B146" s="288"/>
      <c r="C146" s="289"/>
      <c r="D146" s="288"/>
      <c r="E146" s="286"/>
      <c r="F146" s="274"/>
      <c r="G146" s="274"/>
      <c r="H146" s="274"/>
      <c r="I146" s="274"/>
      <c r="J146" s="274"/>
      <c r="K146" s="274"/>
      <c r="L146" s="274"/>
      <c r="M146" s="274"/>
      <c r="N146" s="283"/>
      <c r="O146" s="283"/>
      <c r="R146" s="284"/>
      <c r="S146" s="285"/>
      <c r="T146" s="285"/>
    </row>
    <row r="147" spans="1:20" s="282" customFormat="1" ht="15.75" x14ac:dyDescent="0.25">
      <c r="A147" s="288" t="s">
        <v>69</v>
      </c>
      <c r="B147" s="288"/>
      <c r="C147" s="289"/>
      <c r="D147" s="288"/>
      <c r="E147" s="286"/>
      <c r="F147" s="274"/>
      <c r="G147" s="274"/>
      <c r="H147" s="274"/>
      <c r="I147" s="274"/>
      <c r="J147" s="274"/>
      <c r="K147" s="274"/>
      <c r="L147" s="274"/>
      <c r="M147" s="274"/>
      <c r="N147" s="283"/>
      <c r="O147" s="283"/>
      <c r="R147" s="284"/>
      <c r="S147" s="285"/>
      <c r="T147" s="285"/>
    </row>
    <row r="148" spans="1:20" s="282" customFormat="1" ht="15.75" x14ac:dyDescent="0.25">
      <c r="A148" s="288" t="s">
        <v>70</v>
      </c>
      <c r="B148" s="288"/>
      <c r="C148" s="289"/>
      <c r="D148" s="288"/>
      <c r="E148" s="286"/>
      <c r="F148" s="274"/>
      <c r="G148" s="274"/>
      <c r="H148" s="274"/>
      <c r="I148" s="274"/>
      <c r="J148" s="274"/>
      <c r="K148" s="274"/>
      <c r="L148" s="274"/>
      <c r="M148" s="274"/>
      <c r="N148" s="283"/>
      <c r="O148" s="283"/>
      <c r="R148" s="284"/>
      <c r="S148" s="285"/>
      <c r="T148" s="285"/>
    </row>
    <row r="149" spans="1:20" s="282" customFormat="1" ht="15.75" x14ac:dyDescent="0.25">
      <c r="A149" s="288" t="s">
        <v>71</v>
      </c>
      <c r="B149" s="288"/>
      <c r="C149" s="289"/>
      <c r="D149" s="288"/>
      <c r="E149" s="286"/>
      <c r="F149" s="274"/>
      <c r="G149" s="274"/>
      <c r="H149" s="274"/>
      <c r="I149" s="274"/>
      <c r="J149" s="274"/>
      <c r="K149" s="274"/>
      <c r="L149" s="274"/>
      <c r="M149" s="274"/>
      <c r="N149" s="283"/>
      <c r="O149" s="283"/>
      <c r="R149" s="284"/>
      <c r="S149" s="285"/>
      <c r="T149" s="285"/>
    </row>
    <row r="150" spans="1:20" s="282" customFormat="1" ht="15.75" x14ac:dyDescent="0.25">
      <c r="A150" s="288" t="s">
        <v>72</v>
      </c>
      <c r="B150" s="288"/>
      <c r="C150" s="289"/>
      <c r="D150" s="288"/>
      <c r="E150" s="286"/>
      <c r="F150" s="274"/>
      <c r="G150" s="274"/>
      <c r="H150" s="274"/>
      <c r="I150" s="274"/>
      <c r="J150" s="274"/>
      <c r="K150" s="274"/>
      <c r="L150" s="274"/>
      <c r="M150" s="274"/>
      <c r="N150" s="283"/>
      <c r="O150" s="283"/>
      <c r="R150" s="284"/>
      <c r="S150" s="285"/>
      <c r="T150" s="285"/>
    </row>
    <row r="151" spans="1:20" s="282" customFormat="1" ht="15.75" x14ac:dyDescent="0.25">
      <c r="A151" s="288" t="s">
        <v>73</v>
      </c>
      <c r="B151" s="288"/>
      <c r="C151" s="289"/>
      <c r="D151" s="288"/>
      <c r="E151" s="286"/>
      <c r="F151" s="274"/>
      <c r="G151" s="274"/>
      <c r="H151" s="274"/>
      <c r="I151" s="274"/>
      <c r="J151" s="274"/>
      <c r="K151" s="274"/>
      <c r="L151" s="274"/>
      <c r="M151" s="274"/>
      <c r="N151" s="283"/>
      <c r="O151" s="283"/>
      <c r="R151" s="284"/>
      <c r="S151" s="285"/>
      <c r="T151" s="285"/>
    </row>
    <row r="152" spans="1:20" s="110" customFormat="1" ht="15.75" x14ac:dyDescent="0.25">
      <c r="A152" s="106" t="s">
        <v>74</v>
      </c>
      <c r="B152" s="106"/>
      <c r="C152" s="116"/>
      <c r="D152" s="115"/>
      <c r="E152" s="112"/>
      <c r="F152" s="113"/>
      <c r="G152" s="113"/>
      <c r="H152" s="113"/>
      <c r="I152" s="113"/>
      <c r="J152" s="113"/>
      <c r="K152" s="113"/>
      <c r="L152" s="113"/>
      <c r="M152" s="113"/>
      <c r="N152" s="111"/>
      <c r="O152" s="111"/>
      <c r="R152" s="153"/>
      <c r="S152" s="154"/>
      <c r="T152" s="154"/>
    </row>
    <row r="153" spans="1:20" s="110" customFormat="1" ht="15.75" x14ac:dyDescent="0.25">
      <c r="A153" s="115" t="s">
        <v>75</v>
      </c>
      <c r="B153" s="115"/>
      <c r="C153" s="116"/>
      <c r="D153" s="115"/>
      <c r="E153" s="112"/>
      <c r="F153" s="113"/>
      <c r="G153" s="113"/>
      <c r="H153" s="113"/>
      <c r="I153" s="113"/>
      <c r="J153" s="113"/>
      <c r="K153" s="113"/>
      <c r="L153" s="113"/>
      <c r="M153" s="113"/>
      <c r="N153" s="111"/>
      <c r="O153" s="111"/>
      <c r="R153" s="153"/>
      <c r="S153" s="154"/>
      <c r="T153" s="154"/>
    </row>
    <row r="154" spans="1:20" s="110" customFormat="1" ht="15.75" x14ac:dyDescent="0.25">
      <c r="A154" s="115" t="s">
        <v>76</v>
      </c>
      <c r="B154" s="115"/>
      <c r="C154" s="116"/>
      <c r="D154" s="115"/>
      <c r="E154" s="112"/>
      <c r="F154" s="113"/>
      <c r="G154" s="113"/>
      <c r="H154" s="113"/>
      <c r="I154" s="113"/>
      <c r="J154" s="113"/>
      <c r="K154" s="113"/>
      <c r="L154" s="113"/>
      <c r="M154" s="113"/>
      <c r="N154" s="111"/>
      <c r="O154" s="111"/>
      <c r="R154" s="153"/>
      <c r="S154" s="154"/>
      <c r="T154" s="154"/>
    </row>
    <row r="155" spans="1:20" s="110" customFormat="1" ht="15.75" x14ac:dyDescent="0.25">
      <c r="A155" s="115" t="s">
        <v>77</v>
      </c>
      <c r="B155" s="115"/>
      <c r="C155" s="116"/>
      <c r="D155" s="115"/>
      <c r="E155" s="112"/>
      <c r="F155" s="113"/>
      <c r="G155" s="113"/>
      <c r="H155" s="113"/>
      <c r="I155" s="113"/>
      <c r="J155" s="113"/>
      <c r="K155" s="113"/>
      <c r="L155" s="113"/>
      <c r="M155" s="113"/>
      <c r="N155" s="111"/>
      <c r="O155" s="111"/>
      <c r="R155" s="153"/>
      <c r="S155" s="154"/>
      <c r="T155" s="154"/>
    </row>
    <row r="156" spans="1:20" s="110" customFormat="1" ht="15.75" x14ac:dyDescent="0.25">
      <c r="A156" s="115" t="s">
        <v>78</v>
      </c>
      <c r="B156" s="115"/>
      <c r="C156" s="116"/>
      <c r="D156" s="115"/>
      <c r="E156" s="112"/>
      <c r="F156" s="113"/>
      <c r="G156" s="113"/>
      <c r="H156" s="113"/>
      <c r="I156" s="113"/>
      <c r="J156" s="113"/>
      <c r="K156" s="113"/>
      <c r="L156" s="113"/>
      <c r="M156" s="113"/>
      <c r="N156" s="111"/>
      <c r="O156" s="111"/>
      <c r="R156" s="153"/>
      <c r="S156" s="154"/>
      <c r="T156" s="154"/>
    </row>
    <row r="157" spans="1:20" s="110" customFormat="1" ht="15.75" x14ac:dyDescent="0.25">
      <c r="A157" s="115" t="s">
        <v>79</v>
      </c>
      <c r="B157" s="115"/>
      <c r="C157" s="116"/>
      <c r="D157" s="115"/>
      <c r="E157" s="112"/>
      <c r="F157" s="113"/>
      <c r="G157" s="113"/>
      <c r="H157" s="113"/>
      <c r="I157" s="113"/>
      <c r="J157" s="113"/>
      <c r="K157" s="113"/>
      <c r="L157" s="113"/>
      <c r="M157" s="113"/>
      <c r="N157" s="111"/>
      <c r="O157" s="111"/>
      <c r="R157" s="153"/>
      <c r="S157" s="154"/>
      <c r="T157" s="154"/>
    </row>
    <row r="158" spans="1:20" s="110" customFormat="1" ht="15.75" x14ac:dyDescent="0.25">
      <c r="A158" s="115" t="s">
        <v>80</v>
      </c>
      <c r="B158" s="115"/>
      <c r="C158" s="116"/>
      <c r="D158" s="115"/>
      <c r="E158" s="112"/>
      <c r="F158" s="113"/>
      <c r="G158" s="113"/>
      <c r="H158" s="113"/>
      <c r="I158" s="113"/>
      <c r="J158" s="113"/>
      <c r="K158" s="113"/>
      <c r="L158" s="113"/>
      <c r="M158" s="113"/>
      <c r="N158" s="111"/>
      <c r="O158" s="111"/>
      <c r="R158" s="153"/>
      <c r="S158" s="154"/>
      <c r="T158" s="154"/>
    </row>
    <row r="159" spans="1:20" s="110" customFormat="1" ht="15.75" x14ac:dyDescent="0.25">
      <c r="A159" s="115" t="s">
        <v>81</v>
      </c>
      <c r="B159" s="115"/>
      <c r="C159" s="116"/>
      <c r="D159" s="115"/>
      <c r="E159" s="112"/>
      <c r="F159" s="113"/>
      <c r="G159" s="113"/>
      <c r="H159" s="113"/>
      <c r="I159" s="113"/>
      <c r="J159" s="113"/>
      <c r="K159" s="113"/>
      <c r="L159" s="113"/>
      <c r="M159" s="113"/>
      <c r="N159" s="111"/>
      <c r="O159" s="111"/>
      <c r="R159" s="153"/>
      <c r="S159" s="154"/>
      <c r="T159" s="154"/>
    </row>
    <row r="160" spans="1:20" s="109" customFormat="1" ht="15.75" x14ac:dyDescent="0.25">
      <c r="A160" s="115" t="s">
        <v>82</v>
      </c>
      <c r="B160" s="115"/>
      <c r="C160" s="116"/>
      <c r="D160" s="116"/>
      <c r="E160" s="112"/>
      <c r="F160" s="113"/>
      <c r="G160" s="113"/>
      <c r="H160" s="113"/>
      <c r="I160" s="113"/>
      <c r="J160" s="113"/>
      <c r="K160" s="113"/>
      <c r="L160" s="113"/>
      <c r="M160" s="113"/>
      <c r="N160" s="111"/>
      <c r="O160" s="111"/>
      <c r="R160" s="155"/>
      <c r="S160" s="156"/>
      <c r="T160" s="156"/>
    </row>
    <row r="161" spans="1:20" s="110" customFormat="1" ht="15.75" x14ac:dyDescent="0.25">
      <c r="A161" s="106" t="s">
        <v>83</v>
      </c>
      <c r="B161" s="106"/>
      <c r="C161" s="116"/>
      <c r="D161" s="106"/>
      <c r="E161" s="107"/>
      <c r="F161" s="113"/>
      <c r="G161" s="113"/>
      <c r="H161" s="113"/>
      <c r="I161" s="113"/>
      <c r="J161" s="113"/>
      <c r="K161" s="113"/>
      <c r="L161" s="114"/>
      <c r="M161" s="113"/>
      <c r="N161" s="111"/>
      <c r="O161" s="111"/>
      <c r="R161" s="153"/>
      <c r="S161" s="154"/>
      <c r="T161" s="154"/>
    </row>
    <row r="162" spans="1:20" s="110" customFormat="1" ht="15.75" x14ac:dyDescent="0.25">
      <c r="A162" s="115" t="s">
        <v>84</v>
      </c>
      <c r="B162" s="115"/>
      <c r="C162" s="116"/>
      <c r="D162" s="115"/>
      <c r="E162" s="112"/>
      <c r="F162" s="113"/>
      <c r="G162" s="113"/>
      <c r="H162" s="113"/>
      <c r="I162" s="113"/>
      <c r="J162" s="113"/>
      <c r="K162" s="113"/>
      <c r="L162" s="114"/>
      <c r="M162" s="113"/>
      <c r="N162" s="111"/>
      <c r="O162" s="111"/>
      <c r="R162" s="153"/>
      <c r="S162" s="154"/>
      <c r="T162" s="154"/>
    </row>
    <row r="163" spans="1:20" s="110" customFormat="1" ht="15.75" x14ac:dyDescent="0.25">
      <c r="A163" s="115" t="s">
        <v>85</v>
      </c>
      <c r="B163" s="115"/>
      <c r="C163" s="116"/>
      <c r="D163" s="115"/>
      <c r="E163" s="112"/>
      <c r="F163" s="113"/>
      <c r="G163" s="113"/>
      <c r="H163" s="113"/>
      <c r="I163" s="113"/>
      <c r="J163" s="113"/>
      <c r="K163" s="113"/>
      <c r="L163" s="113"/>
      <c r="M163" s="113"/>
      <c r="N163" s="111"/>
      <c r="O163" s="111"/>
      <c r="R163" s="153"/>
      <c r="S163" s="154"/>
      <c r="T163" s="154"/>
    </row>
    <row r="164" spans="1:20" s="110" customFormat="1" ht="15.75" x14ac:dyDescent="0.25">
      <c r="A164" s="115" t="s">
        <v>86</v>
      </c>
      <c r="B164" s="115"/>
      <c r="C164" s="112"/>
      <c r="D164" s="108"/>
      <c r="E164" s="112"/>
      <c r="F164" s="113"/>
      <c r="G164" s="113"/>
      <c r="H164" s="113"/>
      <c r="I164" s="113"/>
      <c r="J164" s="113"/>
      <c r="K164" s="113"/>
      <c r="L164" s="114"/>
      <c r="M164" s="113"/>
      <c r="N164" s="111"/>
      <c r="O164" s="111"/>
      <c r="R164" s="153"/>
      <c r="S164" s="154"/>
      <c r="T164" s="154"/>
    </row>
    <row r="165" spans="1:20" s="110" customFormat="1" ht="15.75" x14ac:dyDescent="0.25">
      <c r="C165" s="109"/>
      <c r="E165" s="109"/>
      <c r="F165" s="111"/>
      <c r="G165" s="111"/>
      <c r="H165" s="111"/>
      <c r="I165" s="111"/>
      <c r="J165" s="111"/>
      <c r="K165" s="111"/>
      <c r="L165" s="117"/>
      <c r="M165" s="111"/>
      <c r="N165" s="111"/>
      <c r="O165" s="111"/>
      <c r="R165" s="153"/>
      <c r="S165" s="154"/>
      <c r="T165" s="154"/>
    </row>
    <row r="166" spans="1:20" s="123" customFormat="1" ht="15.75" x14ac:dyDescent="0.25">
      <c r="A166" s="118" t="s">
        <v>87</v>
      </c>
      <c r="B166" s="118"/>
      <c r="C166" s="119"/>
      <c r="D166" s="120"/>
      <c r="E166" s="119"/>
      <c r="F166" s="121"/>
      <c r="G166" s="122"/>
      <c r="H166" s="121"/>
      <c r="I166" s="121"/>
      <c r="J166" s="121"/>
      <c r="K166" s="121"/>
      <c r="L166" s="122"/>
      <c r="M166" s="122"/>
      <c r="N166" s="122"/>
      <c r="O166" s="122"/>
      <c r="R166" s="157"/>
      <c r="S166" s="158"/>
      <c r="T166" s="158"/>
    </row>
    <row r="167" spans="1:20" s="125" customFormat="1" ht="15.75" x14ac:dyDescent="0.25">
      <c r="C167" s="124"/>
      <c r="E167" s="124"/>
      <c r="F167" s="126"/>
      <c r="G167" s="126"/>
      <c r="H167" s="126"/>
      <c r="I167" s="126"/>
      <c r="J167" s="126"/>
      <c r="K167" s="126"/>
      <c r="L167" s="127"/>
      <c r="M167" s="126"/>
      <c r="N167" s="126"/>
      <c r="O167" s="126"/>
      <c r="R167" s="159"/>
      <c r="S167" s="160"/>
      <c r="T167" s="160"/>
    </row>
  </sheetData>
  <sheetProtection algorithmName="SHA-512" hashValue="H2tlI/9q62p4P74m1qLmV1T3tGHNnarWtAKVeknkzEUqp/lYjOaFm9vHgYcCyPOR4NMPQgOiZhX9Wk72Vg2Txw==" saltValue="zS3+JUZLcCE2KL+8wnR2Hw==" spinCount="100000" sheet="1" sort="0" autoFilter="0"/>
  <autoFilter ref="A9:Q113" xr:uid="{00000000-0001-0000-0000-000000000000}">
    <filterColumn colId="11" showButton="0"/>
    <filterColumn colId="14" showButton="0"/>
  </autoFilter>
  <mergeCells count="16">
    <mergeCell ref="A130:D130"/>
    <mergeCell ref="A116:Q116"/>
    <mergeCell ref="A117:Q117"/>
    <mergeCell ref="A118:Q118"/>
    <mergeCell ref="A119:Q119"/>
    <mergeCell ref="A120:R120"/>
    <mergeCell ref="A129:D129"/>
    <mergeCell ref="A4:Q4"/>
    <mergeCell ref="A5:Q5"/>
    <mergeCell ref="A6:Q6"/>
    <mergeCell ref="L8:R8"/>
    <mergeCell ref="L9:M9"/>
    <mergeCell ref="N9:N10"/>
    <mergeCell ref="O9:P9"/>
    <mergeCell ref="Q9:Q10"/>
    <mergeCell ref="R9:R10"/>
  </mergeCells>
  <pageMargins left="0.7" right="0.7" top="0.75" bottom="0.75" header="0.3" footer="0.3"/>
  <pageSetup paperSize="9" scale="2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86183-B745-431A-BBA3-DCB49C17C3D4}">
  <dimension ref="A1:C39"/>
  <sheetViews>
    <sheetView topLeftCell="A13" workbookViewId="0">
      <selection activeCell="D38" sqref="D38"/>
    </sheetView>
  </sheetViews>
  <sheetFormatPr defaultRowHeight="15" x14ac:dyDescent="0.25"/>
  <cols>
    <col min="1" max="1" width="108.7109375" customWidth="1"/>
    <col min="2" max="2" width="25.140625" bestFit="1" customWidth="1"/>
    <col min="3" max="3" width="11" bestFit="1" customWidth="1"/>
  </cols>
  <sheetData>
    <row r="1" spans="1:3" x14ac:dyDescent="0.25">
      <c r="A1" s="436" t="s">
        <v>179</v>
      </c>
      <c r="B1" t="s">
        <v>182</v>
      </c>
    </row>
    <row r="3" spans="1:3" x14ac:dyDescent="0.25">
      <c r="A3" s="436" t="s">
        <v>183</v>
      </c>
    </row>
    <row r="4" spans="1:3" x14ac:dyDescent="0.25">
      <c r="A4" s="436" t="s">
        <v>4</v>
      </c>
      <c r="B4" s="436" t="s">
        <v>6</v>
      </c>
      <c r="C4" t="s">
        <v>181</v>
      </c>
    </row>
    <row r="5" spans="1:3" x14ac:dyDescent="0.25">
      <c r="A5" t="s">
        <v>172</v>
      </c>
      <c r="B5" t="s">
        <v>20</v>
      </c>
      <c r="C5" s="437">
        <v>12</v>
      </c>
    </row>
    <row r="6" spans="1:3" x14ac:dyDescent="0.25">
      <c r="A6" t="s">
        <v>171</v>
      </c>
      <c r="B6" t="s">
        <v>19</v>
      </c>
      <c r="C6" s="437">
        <v>12</v>
      </c>
    </row>
    <row r="7" spans="1:3" x14ac:dyDescent="0.25">
      <c r="A7" t="s">
        <v>174</v>
      </c>
      <c r="B7" t="s">
        <v>19</v>
      </c>
      <c r="C7" s="437">
        <v>1278</v>
      </c>
    </row>
    <row r="8" spans="1:3" x14ac:dyDescent="0.25">
      <c r="A8" t="s">
        <v>125</v>
      </c>
      <c r="B8" t="s">
        <v>19</v>
      </c>
      <c r="C8" s="437">
        <v>8</v>
      </c>
    </row>
    <row r="9" spans="1:3" x14ac:dyDescent="0.25">
      <c r="A9" t="s">
        <v>130</v>
      </c>
      <c r="B9" t="s">
        <v>19</v>
      </c>
      <c r="C9" s="437">
        <v>85</v>
      </c>
    </row>
    <row r="10" spans="1:3" x14ac:dyDescent="0.25">
      <c r="A10" t="s">
        <v>114</v>
      </c>
      <c r="B10" t="s">
        <v>20</v>
      </c>
      <c r="C10" s="437">
        <v>12.6</v>
      </c>
    </row>
    <row r="11" spans="1:3" x14ac:dyDescent="0.25">
      <c r="A11" t="s">
        <v>178</v>
      </c>
      <c r="B11" t="s">
        <v>107</v>
      </c>
      <c r="C11" s="437">
        <v>1</v>
      </c>
    </row>
    <row r="12" spans="1:3" x14ac:dyDescent="0.25">
      <c r="A12" t="s">
        <v>133</v>
      </c>
      <c r="B12" t="s">
        <v>19</v>
      </c>
      <c r="C12" s="437">
        <v>11</v>
      </c>
    </row>
    <row r="13" spans="1:3" x14ac:dyDescent="0.25">
      <c r="A13" t="s">
        <v>134</v>
      </c>
      <c r="B13" t="s">
        <v>19</v>
      </c>
      <c r="C13" s="437">
        <v>2</v>
      </c>
    </row>
    <row r="14" spans="1:3" x14ac:dyDescent="0.25">
      <c r="A14" t="s">
        <v>106</v>
      </c>
      <c r="B14" t="s">
        <v>20</v>
      </c>
      <c r="C14" s="437">
        <v>5294.44</v>
      </c>
    </row>
    <row r="15" spans="1:3" x14ac:dyDescent="0.25">
      <c r="A15" t="s">
        <v>110</v>
      </c>
      <c r="B15" t="s">
        <v>185</v>
      </c>
      <c r="C15" s="437">
        <v>552</v>
      </c>
    </row>
    <row r="16" spans="1:3" x14ac:dyDescent="0.25">
      <c r="A16" t="s">
        <v>108</v>
      </c>
      <c r="B16" t="s">
        <v>111</v>
      </c>
      <c r="C16" s="437">
        <v>2</v>
      </c>
    </row>
    <row r="17" spans="1:3" x14ac:dyDescent="0.25">
      <c r="A17" t="s">
        <v>121</v>
      </c>
      <c r="B17" t="s">
        <v>18</v>
      </c>
      <c r="C17" s="437">
        <v>2101.67</v>
      </c>
    </row>
    <row r="18" spans="1:3" x14ac:dyDescent="0.25">
      <c r="A18" t="s">
        <v>98</v>
      </c>
      <c r="B18" t="s">
        <v>18</v>
      </c>
      <c r="C18" s="437">
        <v>1296.3900000000001</v>
      </c>
    </row>
    <row r="19" spans="1:3" x14ac:dyDescent="0.25">
      <c r="A19" t="s">
        <v>173</v>
      </c>
      <c r="B19" t="s">
        <v>20</v>
      </c>
      <c r="C19" s="437">
        <v>12000.89</v>
      </c>
    </row>
    <row r="20" spans="1:3" ht="20.25" customHeight="1" x14ac:dyDescent="0.25">
      <c r="A20" t="s">
        <v>101</v>
      </c>
      <c r="B20" t="s">
        <v>20</v>
      </c>
      <c r="C20" s="437">
        <v>133.15</v>
      </c>
    </row>
    <row r="21" spans="1:3" x14ac:dyDescent="0.25">
      <c r="A21" t="s">
        <v>99</v>
      </c>
      <c r="B21" t="s">
        <v>18</v>
      </c>
      <c r="C21" s="437">
        <v>6.13</v>
      </c>
    </row>
    <row r="22" spans="1:3" x14ac:dyDescent="0.25">
      <c r="A22" t="s">
        <v>189</v>
      </c>
      <c r="B22" t="s">
        <v>19</v>
      </c>
      <c r="C22" s="437">
        <v>2</v>
      </c>
    </row>
    <row r="23" spans="1:3" x14ac:dyDescent="0.25">
      <c r="A23" t="s">
        <v>187</v>
      </c>
      <c r="B23" t="s">
        <v>19</v>
      </c>
      <c r="C23" s="437">
        <v>1</v>
      </c>
    </row>
    <row r="24" spans="1:3" x14ac:dyDescent="0.25">
      <c r="A24" t="s">
        <v>188</v>
      </c>
      <c r="B24" t="s">
        <v>19</v>
      </c>
      <c r="C24" s="437">
        <v>2</v>
      </c>
    </row>
    <row r="25" spans="1:3" x14ac:dyDescent="0.25">
      <c r="A25" t="s">
        <v>190</v>
      </c>
      <c r="B25" t="s">
        <v>19</v>
      </c>
      <c r="C25" s="437">
        <v>251</v>
      </c>
    </row>
    <row r="26" spans="1:3" x14ac:dyDescent="0.25">
      <c r="A26" t="s">
        <v>191</v>
      </c>
      <c r="B26" t="s">
        <v>19</v>
      </c>
      <c r="C26" s="437">
        <v>54</v>
      </c>
    </row>
    <row r="27" spans="1:3" x14ac:dyDescent="0.25">
      <c r="A27" t="s">
        <v>192</v>
      </c>
      <c r="B27" t="s">
        <v>19</v>
      </c>
      <c r="C27" s="437">
        <v>15</v>
      </c>
    </row>
    <row r="28" spans="1:3" x14ac:dyDescent="0.25">
      <c r="A28" t="s">
        <v>193</v>
      </c>
      <c r="B28" t="s">
        <v>19</v>
      </c>
      <c r="C28" s="437">
        <v>17</v>
      </c>
    </row>
    <row r="29" spans="1:3" x14ac:dyDescent="0.25">
      <c r="A29" t="s">
        <v>194</v>
      </c>
      <c r="B29" t="s">
        <v>21</v>
      </c>
      <c r="C29" s="437">
        <v>4.2000000000000003E-2</v>
      </c>
    </row>
    <row r="30" spans="1:3" x14ac:dyDescent="0.25">
      <c r="A30" t="s">
        <v>196</v>
      </c>
      <c r="B30" t="s">
        <v>20</v>
      </c>
      <c r="C30" s="437">
        <v>12</v>
      </c>
    </row>
    <row r="31" spans="1:3" x14ac:dyDescent="0.25">
      <c r="A31" t="s">
        <v>197</v>
      </c>
      <c r="B31" t="s">
        <v>21</v>
      </c>
      <c r="C31" s="437">
        <v>3.6029999999999998</v>
      </c>
    </row>
    <row r="32" spans="1:3" x14ac:dyDescent="0.25">
      <c r="A32" t="s">
        <v>198</v>
      </c>
      <c r="B32" t="s">
        <v>22</v>
      </c>
      <c r="C32" s="437">
        <v>20009.300000000003</v>
      </c>
    </row>
    <row r="33" spans="1:3" x14ac:dyDescent="0.25">
      <c r="A33" t="s">
        <v>199</v>
      </c>
      <c r="B33" t="s">
        <v>18</v>
      </c>
      <c r="C33" s="437">
        <v>109.59</v>
      </c>
    </row>
    <row r="34" spans="1:3" x14ac:dyDescent="0.25">
      <c r="A34" t="s">
        <v>200</v>
      </c>
      <c r="B34" t="s">
        <v>19</v>
      </c>
      <c r="C34" s="437">
        <v>9242.7200000000012</v>
      </c>
    </row>
    <row r="35" spans="1:3" x14ac:dyDescent="0.25">
      <c r="A35" t="s">
        <v>203</v>
      </c>
      <c r="B35" t="s">
        <v>19</v>
      </c>
      <c r="C35" s="437">
        <v>36003</v>
      </c>
    </row>
    <row r="36" spans="1:3" x14ac:dyDescent="0.25">
      <c r="A36" t="s">
        <v>202</v>
      </c>
      <c r="B36" t="s">
        <v>19</v>
      </c>
      <c r="C36" s="437">
        <v>1</v>
      </c>
    </row>
    <row r="37" spans="1:3" x14ac:dyDescent="0.25">
      <c r="A37" t="s">
        <v>205</v>
      </c>
      <c r="B37" t="s">
        <v>18</v>
      </c>
      <c r="C37" s="437">
        <v>3567.96</v>
      </c>
    </row>
    <row r="38" spans="1:3" x14ac:dyDescent="0.25">
      <c r="A38" t="s">
        <v>204</v>
      </c>
      <c r="B38" t="s">
        <v>22</v>
      </c>
      <c r="C38" s="437">
        <v>93441</v>
      </c>
    </row>
    <row r="39" spans="1:3" x14ac:dyDescent="0.25">
      <c r="A39" t="s">
        <v>180</v>
      </c>
      <c r="C39" s="437">
        <v>185540.48499999999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ВДЦ   Вэйвер (2)</vt:lpstr>
      <vt:lpstr>для ЭП вдц</vt:lpstr>
      <vt:lpstr>'ВДЦ   Вэйвер (2)'!Область_печати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Буркова Екатерина Витальевна</dc:creator>
  <cp:lastModifiedBy>Рыжова Анастасия</cp:lastModifiedBy>
  <dcterms:created xsi:type="dcterms:W3CDTF">2015-06-05T18:19:34Z</dcterms:created>
  <dcterms:modified xsi:type="dcterms:W3CDTF">2026-09-15T03:04:38Z</dcterms:modified>
</cp:coreProperties>
</file>