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\\tsksrv\_Share\3.2_ЯКС\1_ПТО\1. ПТО\1. ОБЪЕКТЫ\5. ЖК СИБИРСКИЙ\2. ТЕНДЕР\Чистовая отделка МОП\"/>
    </mc:Choice>
  </mc:AlternateContent>
  <xr:revisionPtr revIDLastSave="0" documentId="13_ncr:1_{D6652771-95C8-4886-A005-F16ABAC639CA}" xr6:coauthVersionLast="47" xr6:coauthVersionMax="47" xr10:uidLastSave="{00000000-0000-0000-0000-000000000000}"/>
  <bookViews>
    <workbookView xWindow="-120" yWindow="-120" windowWidth="29040" windowHeight="15720" activeTab="6" xr2:uid="{00000000-000D-0000-FFFF-FFFF00000000}"/>
  </bookViews>
  <sheets>
    <sheet name="1А" sheetId="3" r:id="rId1"/>
    <sheet name="1Б" sheetId="33" r:id="rId2"/>
    <sheet name="2А" sheetId="34" r:id="rId3"/>
    <sheet name="2Б" sheetId="35" r:id="rId4"/>
    <sheet name="3А" sheetId="36" r:id="rId5"/>
    <sheet name="3Б" sheetId="37" r:id="rId6"/>
    <sheet name="3В" sheetId="38" r:id="rId7"/>
  </sheets>
  <definedNames>
    <definedName name="_xlnm._FilterDatabase" localSheetId="0" hidden="1">'1А'!$A$10:$M$209</definedName>
    <definedName name="_xlnm._FilterDatabase" localSheetId="1" hidden="1">'1Б'!$A$10:$M$208</definedName>
    <definedName name="_xlnm._FilterDatabase" localSheetId="2" hidden="1">'2А'!$A$10:$M$208</definedName>
    <definedName name="_xlnm._FilterDatabase" localSheetId="3" hidden="1">'2Б'!$A$10:$M$208</definedName>
    <definedName name="_xlnm._FilterDatabase" localSheetId="4" hidden="1">'3А'!$A$10:$M$209</definedName>
    <definedName name="_xlnm._FilterDatabase" localSheetId="5" hidden="1">'3Б'!$A$10:$M$207</definedName>
    <definedName name="_xlnm._FilterDatabase" localSheetId="6" hidden="1">'3В'!$A$10:$M$209</definedName>
    <definedName name="_xlnm.Print_Area" localSheetId="0">'1А'!$A$1:$P$213</definedName>
    <definedName name="_xlnm.Print_Area" localSheetId="1">'1Б'!$A$1:$P$212</definedName>
    <definedName name="_xlnm.Print_Area" localSheetId="2">'2А'!$A$1:$P$212</definedName>
    <definedName name="_xlnm.Print_Area" localSheetId="3">'2Б'!$A$1:$P$212</definedName>
    <definedName name="_xlnm.Print_Area" localSheetId="4">'3А'!$A$1:$P$213</definedName>
    <definedName name="_xlnm.Print_Area" localSheetId="5">'3Б'!$A$1:$P$211</definedName>
    <definedName name="_xlnm.Print_Area" localSheetId="6">'3В'!$A$1:$P$213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95" i="38" l="1"/>
  <c r="J194" i="38"/>
  <c r="J192" i="38"/>
  <c r="J191" i="38"/>
  <c r="J190" i="38"/>
  <c r="J188" i="38"/>
  <c r="J187" i="38"/>
  <c r="J186" i="38"/>
  <c r="J184" i="38"/>
  <c r="J183" i="38"/>
  <c r="J182" i="38"/>
  <c r="J179" i="38"/>
  <c r="J178" i="38"/>
  <c r="J177" i="38"/>
  <c r="J176" i="38"/>
  <c r="J175" i="38"/>
  <c r="J173" i="38"/>
  <c r="J172" i="38"/>
  <c r="J171" i="38"/>
  <c r="J170" i="38"/>
  <c r="J168" i="38"/>
  <c r="J167" i="38"/>
  <c r="J166" i="38"/>
  <c r="J165" i="38"/>
  <c r="J163" i="38"/>
  <c r="J162" i="38"/>
  <c r="J161" i="38"/>
  <c r="J158" i="38"/>
  <c r="J157" i="38"/>
  <c r="J156" i="38"/>
  <c r="J154" i="38"/>
  <c r="J153" i="38"/>
  <c r="J152" i="38"/>
  <c r="J150" i="38"/>
  <c r="J146" i="38"/>
  <c r="J145" i="38"/>
  <c r="J143" i="38"/>
  <c r="J142" i="38"/>
  <c r="J141" i="38"/>
  <c r="J139" i="38"/>
  <c r="J138" i="38"/>
  <c r="J137" i="38"/>
  <c r="J135" i="38"/>
  <c r="J134" i="38"/>
  <c r="J133" i="38"/>
  <c r="J130" i="38"/>
  <c r="J129" i="38"/>
  <c r="J128" i="38"/>
  <c r="J127" i="38"/>
  <c r="J126" i="38"/>
  <c r="J124" i="38"/>
  <c r="J123" i="38"/>
  <c r="J122" i="38"/>
  <c r="J121" i="38"/>
  <c r="J119" i="38"/>
  <c r="J118" i="38"/>
  <c r="J117" i="38"/>
  <c r="J116" i="38"/>
  <c r="J114" i="38"/>
  <c r="J113" i="38"/>
  <c r="J112" i="38"/>
  <c r="J109" i="38"/>
  <c r="J108" i="38"/>
  <c r="J107" i="38"/>
  <c r="J105" i="38"/>
  <c r="J104" i="38"/>
  <c r="J103" i="38"/>
  <c r="K99" i="38"/>
  <c r="M99" i="38" s="1"/>
  <c r="J99" i="38"/>
  <c r="J97" i="38"/>
  <c r="K96" i="38"/>
  <c r="M96" i="38" s="1"/>
  <c r="J96" i="38"/>
  <c r="J94" i="38"/>
  <c r="J93" i="38"/>
  <c r="J92" i="38"/>
  <c r="J91" i="38"/>
  <c r="J89" i="38"/>
  <c r="J88" i="38"/>
  <c r="J87" i="38"/>
  <c r="J85" i="38"/>
  <c r="J84" i="38"/>
  <c r="J83" i="38"/>
  <c r="J81" i="38"/>
  <c r="J80" i="38"/>
  <c r="J79" i="38"/>
  <c r="J77" i="38"/>
  <c r="J76" i="38"/>
  <c r="J75" i="38"/>
  <c r="J74" i="38"/>
  <c r="J72" i="38"/>
  <c r="J71" i="38"/>
  <c r="J70" i="38"/>
  <c r="J67" i="38"/>
  <c r="J66" i="38"/>
  <c r="J65" i="38"/>
  <c r="J64" i="38"/>
  <c r="J63" i="38"/>
  <c r="J62" i="38"/>
  <c r="J60" i="38"/>
  <c r="J58" i="38"/>
  <c r="J57" i="38"/>
  <c r="J56" i="38"/>
  <c r="J54" i="38"/>
  <c r="J53" i="38"/>
  <c r="J52" i="38"/>
  <c r="J51" i="38"/>
  <c r="J49" i="38"/>
  <c r="J48" i="38"/>
  <c r="J47" i="38"/>
  <c r="J46" i="38"/>
  <c r="J44" i="38"/>
  <c r="J43" i="38"/>
  <c r="J42" i="38"/>
  <c r="J39" i="38"/>
  <c r="J38" i="38"/>
  <c r="J37" i="38"/>
  <c r="J36" i="38"/>
  <c r="J35" i="38"/>
  <c r="J33" i="38"/>
  <c r="J32" i="38"/>
  <c r="J31" i="38"/>
  <c r="J29" i="38"/>
  <c r="J27" i="38"/>
  <c r="J26" i="38"/>
  <c r="J25" i="38"/>
  <c r="J24" i="38"/>
  <c r="J23" i="38"/>
  <c r="J22" i="38"/>
  <c r="J21" i="38"/>
  <c r="J20" i="38"/>
  <c r="J19" i="38"/>
  <c r="J18" i="38"/>
  <c r="J17" i="38"/>
  <c r="J16" i="38"/>
  <c r="J15" i="38"/>
  <c r="J193" i="37"/>
  <c r="J192" i="37"/>
  <c r="J190" i="37"/>
  <c r="J189" i="37"/>
  <c r="J188" i="37"/>
  <c r="J186" i="37"/>
  <c r="J185" i="37"/>
  <c r="J184" i="37"/>
  <c r="J182" i="37"/>
  <c r="J181" i="37"/>
  <c r="J180" i="37"/>
  <c r="J177" i="37"/>
  <c r="J176" i="37"/>
  <c r="J175" i="37"/>
  <c r="J174" i="37"/>
  <c r="J173" i="37"/>
  <c r="J171" i="37"/>
  <c r="J170" i="37"/>
  <c r="J169" i="37"/>
  <c r="J168" i="37"/>
  <c r="J166" i="37"/>
  <c r="J165" i="37"/>
  <c r="J164" i="37"/>
  <c r="J163" i="37"/>
  <c r="J161" i="37"/>
  <c r="J160" i="37"/>
  <c r="J159" i="37"/>
  <c r="J156" i="37"/>
  <c r="J155" i="37"/>
  <c r="J154" i="37"/>
  <c r="J152" i="37"/>
  <c r="J151" i="37"/>
  <c r="J150" i="37"/>
  <c r="J148" i="37"/>
  <c r="J144" i="37"/>
  <c r="J143" i="37"/>
  <c r="J141" i="37"/>
  <c r="J140" i="37"/>
  <c r="J139" i="37"/>
  <c r="J137" i="37"/>
  <c r="J136" i="37"/>
  <c r="J135" i="37"/>
  <c r="J133" i="37"/>
  <c r="J132" i="37"/>
  <c r="J131" i="37"/>
  <c r="J128" i="37"/>
  <c r="J127" i="37"/>
  <c r="J126" i="37"/>
  <c r="J125" i="37"/>
  <c r="J124" i="37"/>
  <c r="J122" i="37"/>
  <c r="J121" i="37"/>
  <c r="J120" i="37"/>
  <c r="J119" i="37"/>
  <c r="J117" i="37"/>
  <c r="J116" i="37"/>
  <c r="J115" i="37"/>
  <c r="J114" i="37"/>
  <c r="J112" i="37"/>
  <c r="J111" i="37"/>
  <c r="J110" i="37"/>
  <c r="J107" i="37"/>
  <c r="J106" i="37"/>
  <c r="J105" i="37"/>
  <c r="J103" i="37"/>
  <c r="J102" i="37"/>
  <c r="J101" i="37"/>
  <c r="K97" i="37"/>
  <c r="M97" i="37" s="1"/>
  <c r="J97" i="37"/>
  <c r="J95" i="37"/>
  <c r="K94" i="37"/>
  <c r="M94" i="37" s="1"/>
  <c r="J94" i="37"/>
  <c r="J92" i="37"/>
  <c r="J91" i="37"/>
  <c r="J90" i="37"/>
  <c r="J89" i="37"/>
  <c r="J87" i="37"/>
  <c r="J86" i="37"/>
  <c r="J85" i="37"/>
  <c r="J83" i="37"/>
  <c r="J82" i="37"/>
  <c r="J81" i="37"/>
  <c r="J79" i="37"/>
  <c r="J78" i="37"/>
  <c r="J77" i="37"/>
  <c r="J75" i="37"/>
  <c r="J74" i="37"/>
  <c r="J73" i="37"/>
  <c r="J72" i="37"/>
  <c r="J70" i="37"/>
  <c r="J69" i="37"/>
  <c r="J68" i="37"/>
  <c r="J65" i="37"/>
  <c r="J64" i="37"/>
  <c r="J63" i="37"/>
  <c r="J62" i="37"/>
  <c r="J61" i="37"/>
  <c r="J60" i="37"/>
  <c r="J58" i="37"/>
  <c r="J56" i="37"/>
  <c r="J55" i="37"/>
  <c r="J53" i="37"/>
  <c r="J52" i="37"/>
  <c r="J51" i="37"/>
  <c r="J50" i="37"/>
  <c r="J48" i="37"/>
  <c r="J47" i="37"/>
  <c r="J46" i="37"/>
  <c r="J44" i="37"/>
  <c r="J43" i="37"/>
  <c r="J42" i="37"/>
  <c r="J39" i="37"/>
  <c r="J38" i="37"/>
  <c r="J37" i="37"/>
  <c r="J36" i="37"/>
  <c r="J35" i="37"/>
  <c r="J33" i="37"/>
  <c r="J32" i="37"/>
  <c r="J31" i="37"/>
  <c r="J29" i="37"/>
  <c r="J27" i="37"/>
  <c r="J26" i="37"/>
  <c r="J25" i="37"/>
  <c r="J24" i="37"/>
  <c r="J23" i="37"/>
  <c r="J22" i="37"/>
  <c r="J21" i="37"/>
  <c r="J20" i="37"/>
  <c r="J19" i="37"/>
  <c r="J18" i="37"/>
  <c r="J17" i="37"/>
  <c r="J16" i="37"/>
  <c r="J15" i="37"/>
  <c r="J195" i="36"/>
  <c r="J194" i="36"/>
  <c r="J192" i="36"/>
  <c r="J191" i="36"/>
  <c r="J190" i="36"/>
  <c r="J188" i="36"/>
  <c r="J187" i="36"/>
  <c r="J186" i="36"/>
  <c r="J184" i="36"/>
  <c r="J183" i="36"/>
  <c r="J182" i="36"/>
  <c r="J179" i="36"/>
  <c r="J178" i="36"/>
  <c r="J177" i="36"/>
  <c r="J176" i="36"/>
  <c r="J175" i="36"/>
  <c r="J173" i="36"/>
  <c r="J172" i="36"/>
  <c r="J171" i="36"/>
  <c r="J170" i="36"/>
  <c r="J168" i="36"/>
  <c r="J167" i="36"/>
  <c r="J166" i="36"/>
  <c r="J165" i="36"/>
  <c r="J163" i="36"/>
  <c r="J162" i="36"/>
  <c r="J161" i="36"/>
  <c r="J158" i="36"/>
  <c r="J157" i="36"/>
  <c r="J156" i="36"/>
  <c r="J154" i="36"/>
  <c r="J153" i="36"/>
  <c r="J152" i="36"/>
  <c r="J150" i="36"/>
  <c r="J146" i="36"/>
  <c r="J145" i="36"/>
  <c r="J143" i="36"/>
  <c r="J142" i="36"/>
  <c r="J141" i="36"/>
  <c r="J139" i="36"/>
  <c r="J138" i="36"/>
  <c r="J137" i="36"/>
  <c r="J135" i="36"/>
  <c r="J134" i="36"/>
  <c r="J133" i="36"/>
  <c r="J130" i="36"/>
  <c r="J129" i="36"/>
  <c r="J128" i="36"/>
  <c r="J127" i="36"/>
  <c r="J126" i="36"/>
  <c r="J124" i="36"/>
  <c r="J123" i="36"/>
  <c r="J122" i="36"/>
  <c r="J121" i="36"/>
  <c r="J119" i="36"/>
  <c r="J118" i="36"/>
  <c r="J117" i="36"/>
  <c r="J116" i="36"/>
  <c r="J114" i="36"/>
  <c r="J113" i="36"/>
  <c r="J112" i="36"/>
  <c r="J109" i="36"/>
  <c r="J108" i="36"/>
  <c r="J107" i="36"/>
  <c r="J105" i="36"/>
  <c r="J104" i="36"/>
  <c r="J103" i="36"/>
  <c r="K99" i="36"/>
  <c r="M99" i="36" s="1"/>
  <c r="J99" i="36"/>
  <c r="J97" i="36"/>
  <c r="K96" i="36"/>
  <c r="M96" i="36" s="1"/>
  <c r="J96" i="36"/>
  <c r="J94" i="36"/>
  <c r="J93" i="36"/>
  <c r="J92" i="36"/>
  <c r="J91" i="36"/>
  <c r="J89" i="36"/>
  <c r="J88" i="36"/>
  <c r="J87" i="36"/>
  <c r="J85" i="36"/>
  <c r="J84" i="36"/>
  <c r="J83" i="36"/>
  <c r="J81" i="36"/>
  <c r="J80" i="36"/>
  <c r="J79" i="36"/>
  <c r="J77" i="36"/>
  <c r="J76" i="36"/>
  <c r="J75" i="36"/>
  <c r="J74" i="36"/>
  <c r="J72" i="36"/>
  <c r="J71" i="36"/>
  <c r="J70" i="36"/>
  <c r="J67" i="36"/>
  <c r="J66" i="36"/>
  <c r="J65" i="36"/>
  <c r="J64" i="36"/>
  <c r="J63" i="36"/>
  <c r="J62" i="36"/>
  <c r="J60" i="36"/>
  <c r="J58" i="36"/>
  <c r="J57" i="36"/>
  <c r="J56" i="36"/>
  <c r="J54" i="36"/>
  <c r="J53" i="36"/>
  <c r="J52" i="36"/>
  <c r="J51" i="36"/>
  <c r="J49" i="36"/>
  <c r="J48" i="36"/>
  <c r="J47" i="36"/>
  <c r="J46" i="36"/>
  <c r="J44" i="36"/>
  <c r="J43" i="36"/>
  <c r="J42" i="36"/>
  <c r="J39" i="36"/>
  <c r="J38" i="36"/>
  <c r="J37" i="36"/>
  <c r="J36" i="36"/>
  <c r="J35" i="36"/>
  <c r="J33" i="36"/>
  <c r="J32" i="36"/>
  <c r="J31" i="36"/>
  <c r="J29" i="36"/>
  <c r="J27" i="36"/>
  <c r="J26" i="36"/>
  <c r="J25" i="36"/>
  <c r="J24" i="36"/>
  <c r="J23" i="36"/>
  <c r="J22" i="36"/>
  <c r="J21" i="36"/>
  <c r="J20" i="36"/>
  <c r="J19" i="36"/>
  <c r="J18" i="36"/>
  <c r="J17" i="36"/>
  <c r="J16" i="36"/>
  <c r="J15" i="36"/>
  <c r="J194" i="35"/>
  <c r="J193" i="35"/>
  <c r="J191" i="35"/>
  <c r="J190" i="35"/>
  <c r="J189" i="35"/>
  <c r="J187" i="35"/>
  <c r="J186" i="35"/>
  <c r="J185" i="35"/>
  <c r="J183" i="35"/>
  <c r="J182" i="35"/>
  <c r="J181" i="35"/>
  <c r="J178" i="35"/>
  <c r="J177" i="35"/>
  <c r="J176" i="35"/>
  <c r="J175" i="35"/>
  <c r="J174" i="35"/>
  <c r="J172" i="35"/>
  <c r="J171" i="35"/>
  <c r="J170" i="35"/>
  <c r="J169" i="35"/>
  <c r="J167" i="35"/>
  <c r="J166" i="35"/>
  <c r="J165" i="35"/>
  <c r="J164" i="35"/>
  <c r="J162" i="35"/>
  <c r="J161" i="35"/>
  <c r="J160" i="35"/>
  <c r="J157" i="35"/>
  <c r="J156" i="35"/>
  <c r="J155" i="35"/>
  <c r="J153" i="35"/>
  <c r="J152" i="35"/>
  <c r="J151" i="35"/>
  <c r="J149" i="35"/>
  <c r="J145" i="35"/>
  <c r="J144" i="35"/>
  <c r="J142" i="35"/>
  <c r="J141" i="35"/>
  <c r="J140" i="35"/>
  <c r="J138" i="35"/>
  <c r="J137" i="35"/>
  <c r="J136" i="35"/>
  <c r="J134" i="35"/>
  <c r="J133" i="35"/>
  <c r="J132" i="35"/>
  <c r="J129" i="35"/>
  <c r="J128" i="35"/>
  <c r="J127" i="35"/>
  <c r="J126" i="35"/>
  <c r="J125" i="35"/>
  <c r="J123" i="35"/>
  <c r="J122" i="35"/>
  <c r="J121" i="35"/>
  <c r="J120" i="35"/>
  <c r="J118" i="35"/>
  <c r="J117" i="35"/>
  <c r="J116" i="35"/>
  <c r="J115" i="35"/>
  <c r="J113" i="35"/>
  <c r="J112" i="35"/>
  <c r="J111" i="35"/>
  <c r="J108" i="35"/>
  <c r="J107" i="35"/>
  <c r="J106" i="35"/>
  <c r="J104" i="35"/>
  <c r="J103" i="35"/>
  <c r="J102" i="35"/>
  <c r="K98" i="35"/>
  <c r="M98" i="35" s="1"/>
  <c r="J98" i="35"/>
  <c r="J96" i="35"/>
  <c r="K95" i="35"/>
  <c r="M95" i="35" s="1"/>
  <c r="J95" i="35"/>
  <c r="J93" i="35"/>
  <c r="J92" i="35"/>
  <c r="J91" i="35"/>
  <c r="J90" i="35"/>
  <c r="J88" i="35"/>
  <c r="J87" i="35"/>
  <c r="J86" i="35"/>
  <c r="J84" i="35"/>
  <c r="J83" i="35"/>
  <c r="J82" i="35"/>
  <c r="J80" i="35"/>
  <c r="J79" i="35"/>
  <c r="J78" i="35"/>
  <c r="J76" i="35"/>
  <c r="J75" i="35"/>
  <c r="J74" i="35"/>
  <c r="J73" i="35"/>
  <c r="J71" i="35"/>
  <c r="J70" i="35"/>
  <c r="J69" i="35"/>
  <c r="J66" i="35"/>
  <c r="J65" i="35"/>
  <c r="J64" i="35"/>
  <c r="J63" i="35"/>
  <c r="J62" i="35"/>
  <c r="J61" i="35"/>
  <c r="J60" i="35"/>
  <c r="J58" i="35"/>
  <c r="J56" i="35"/>
  <c r="J55" i="35"/>
  <c r="J53" i="35"/>
  <c r="J52" i="35"/>
  <c r="J51" i="35"/>
  <c r="J50" i="35"/>
  <c r="J48" i="35"/>
  <c r="J47" i="35"/>
  <c r="J46" i="35"/>
  <c r="J44" i="35"/>
  <c r="J43" i="35"/>
  <c r="J42" i="35"/>
  <c r="J39" i="35"/>
  <c r="J38" i="35"/>
  <c r="J37" i="35"/>
  <c r="J36" i="35"/>
  <c r="J35" i="35"/>
  <c r="J33" i="35"/>
  <c r="J32" i="35"/>
  <c r="J31" i="35"/>
  <c r="J29" i="35"/>
  <c r="J27" i="35"/>
  <c r="J26" i="35"/>
  <c r="J25" i="35"/>
  <c r="J24" i="35"/>
  <c r="J23" i="35"/>
  <c r="J22" i="35"/>
  <c r="J21" i="35"/>
  <c r="J20" i="35"/>
  <c r="J19" i="35"/>
  <c r="J18" i="35"/>
  <c r="J17" i="35"/>
  <c r="J16" i="35"/>
  <c r="J15" i="35"/>
  <c r="J194" i="34"/>
  <c r="J193" i="34"/>
  <c r="J191" i="34"/>
  <c r="J190" i="34"/>
  <c r="J189" i="34"/>
  <c r="J187" i="34"/>
  <c r="J186" i="34"/>
  <c r="J185" i="34"/>
  <c r="J183" i="34"/>
  <c r="J182" i="34"/>
  <c r="J181" i="34"/>
  <c r="J178" i="34"/>
  <c r="J177" i="34"/>
  <c r="J176" i="34"/>
  <c r="J175" i="34"/>
  <c r="J174" i="34"/>
  <c r="J172" i="34"/>
  <c r="J171" i="34"/>
  <c r="J170" i="34"/>
  <c r="J169" i="34"/>
  <c r="J167" i="34"/>
  <c r="J166" i="34"/>
  <c r="J165" i="34"/>
  <c r="J164" i="34"/>
  <c r="J162" i="34"/>
  <c r="J161" i="34"/>
  <c r="J160" i="34"/>
  <c r="J157" i="34"/>
  <c r="J156" i="34"/>
  <c r="J155" i="34"/>
  <c r="J153" i="34"/>
  <c r="J152" i="34"/>
  <c r="J151" i="34"/>
  <c r="J149" i="34"/>
  <c r="J145" i="34"/>
  <c r="J144" i="34"/>
  <c r="J142" i="34"/>
  <c r="J141" i="34"/>
  <c r="J140" i="34"/>
  <c r="J138" i="34"/>
  <c r="J137" i="34"/>
  <c r="J136" i="34"/>
  <c r="J134" i="34"/>
  <c r="J133" i="34"/>
  <c r="J132" i="34"/>
  <c r="J129" i="34"/>
  <c r="J128" i="34"/>
  <c r="J127" i="34"/>
  <c r="J126" i="34"/>
  <c r="J125" i="34"/>
  <c r="J123" i="34"/>
  <c r="J122" i="34"/>
  <c r="J121" i="34"/>
  <c r="J120" i="34"/>
  <c r="J118" i="34"/>
  <c r="J117" i="34"/>
  <c r="J116" i="34"/>
  <c r="J115" i="34"/>
  <c r="J113" i="34"/>
  <c r="J112" i="34"/>
  <c r="J111" i="34"/>
  <c r="J108" i="34"/>
  <c r="J107" i="34"/>
  <c r="J106" i="34"/>
  <c r="J104" i="34"/>
  <c r="J103" i="34"/>
  <c r="J102" i="34"/>
  <c r="K98" i="34"/>
  <c r="M98" i="34" s="1"/>
  <c r="J98" i="34"/>
  <c r="J96" i="34"/>
  <c r="K95" i="34"/>
  <c r="M95" i="34" s="1"/>
  <c r="J95" i="34"/>
  <c r="J93" i="34"/>
  <c r="J92" i="34"/>
  <c r="J91" i="34"/>
  <c r="J90" i="34"/>
  <c r="J88" i="34"/>
  <c r="J87" i="34"/>
  <c r="J86" i="34"/>
  <c r="J84" i="34"/>
  <c r="J83" i="34"/>
  <c r="J82" i="34"/>
  <c r="J80" i="34"/>
  <c r="J79" i="34"/>
  <c r="J78" i="34"/>
  <c r="J76" i="34"/>
  <c r="J75" i="34"/>
  <c r="J74" i="34"/>
  <c r="J73" i="34"/>
  <c r="J71" i="34"/>
  <c r="J70" i="34"/>
  <c r="J69" i="34"/>
  <c r="J66" i="34"/>
  <c r="J65" i="34"/>
  <c r="J64" i="34"/>
  <c r="J63" i="34"/>
  <c r="J62" i="34"/>
  <c r="J61" i="34"/>
  <c r="J59" i="34"/>
  <c r="J57" i="34"/>
  <c r="J56" i="34"/>
  <c r="J55" i="34"/>
  <c r="J53" i="34"/>
  <c r="J52" i="34"/>
  <c r="J51" i="34"/>
  <c r="J50" i="34"/>
  <c r="J48" i="34"/>
  <c r="J47" i="34"/>
  <c r="J46" i="34"/>
  <c r="J44" i="34"/>
  <c r="J43" i="34"/>
  <c r="J42" i="34"/>
  <c r="J39" i="34"/>
  <c r="J38" i="34"/>
  <c r="J37" i="34"/>
  <c r="J36" i="34"/>
  <c r="J35" i="34"/>
  <c r="J33" i="34"/>
  <c r="J32" i="34"/>
  <c r="J31" i="34"/>
  <c r="J29" i="34"/>
  <c r="J27" i="34"/>
  <c r="J26" i="34"/>
  <c r="J25" i="34"/>
  <c r="J24" i="34"/>
  <c r="J23" i="34"/>
  <c r="J22" i="34"/>
  <c r="J21" i="34"/>
  <c r="J20" i="34"/>
  <c r="J19" i="34"/>
  <c r="J18" i="34"/>
  <c r="J17" i="34"/>
  <c r="J16" i="34"/>
  <c r="J15" i="34"/>
  <c r="J194" i="33"/>
  <c r="J193" i="33"/>
  <c r="J191" i="33"/>
  <c r="J190" i="33"/>
  <c r="J189" i="33"/>
  <c r="J187" i="33"/>
  <c r="J186" i="33"/>
  <c r="J185" i="33"/>
  <c r="J183" i="33"/>
  <c r="J182" i="33"/>
  <c r="J181" i="33"/>
  <c r="J178" i="33"/>
  <c r="J177" i="33"/>
  <c r="J176" i="33"/>
  <c r="J175" i="33"/>
  <c r="J174" i="33"/>
  <c r="J172" i="33"/>
  <c r="J171" i="33"/>
  <c r="J170" i="33"/>
  <c r="J169" i="33"/>
  <c r="J167" i="33"/>
  <c r="J166" i="33"/>
  <c r="J165" i="33"/>
  <c r="J164" i="33"/>
  <c r="J162" i="33"/>
  <c r="J161" i="33"/>
  <c r="J160" i="33"/>
  <c r="J157" i="33"/>
  <c r="J156" i="33"/>
  <c r="J155" i="33"/>
  <c r="J153" i="33"/>
  <c r="J152" i="33"/>
  <c r="J151" i="33"/>
  <c r="J149" i="33"/>
  <c r="J145" i="33"/>
  <c r="J144" i="33"/>
  <c r="J142" i="33"/>
  <c r="J141" i="33"/>
  <c r="J140" i="33"/>
  <c r="J138" i="33"/>
  <c r="J137" i="33"/>
  <c r="J136" i="33"/>
  <c r="J134" i="33"/>
  <c r="J133" i="33"/>
  <c r="J132" i="33"/>
  <c r="J129" i="33"/>
  <c r="J128" i="33"/>
  <c r="J127" i="33"/>
  <c r="J126" i="33"/>
  <c r="J125" i="33"/>
  <c r="J123" i="33"/>
  <c r="J122" i="33"/>
  <c r="J121" i="33"/>
  <c r="J120" i="33"/>
  <c r="J118" i="33"/>
  <c r="J117" i="33"/>
  <c r="J116" i="33"/>
  <c r="J115" i="33"/>
  <c r="J113" i="33"/>
  <c r="J112" i="33"/>
  <c r="J111" i="33"/>
  <c r="J108" i="33"/>
  <c r="J107" i="33"/>
  <c r="J106" i="33"/>
  <c r="J104" i="33"/>
  <c r="J103" i="33"/>
  <c r="J102" i="33"/>
  <c r="K98" i="33"/>
  <c r="M98" i="33" s="1"/>
  <c r="J98" i="33"/>
  <c r="J96" i="33"/>
  <c r="K95" i="33"/>
  <c r="M95" i="33" s="1"/>
  <c r="J95" i="33"/>
  <c r="J93" i="33"/>
  <c r="J92" i="33"/>
  <c r="J91" i="33"/>
  <c r="J90" i="33"/>
  <c r="J88" i="33"/>
  <c r="J87" i="33"/>
  <c r="J86" i="33"/>
  <c r="J84" i="33"/>
  <c r="J83" i="33"/>
  <c r="J82" i="33"/>
  <c r="J80" i="33"/>
  <c r="J79" i="33"/>
  <c r="J78" i="33"/>
  <c r="J76" i="33"/>
  <c r="J75" i="33"/>
  <c r="J74" i="33"/>
  <c r="J73" i="33"/>
  <c r="J71" i="33"/>
  <c r="J70" i="33"/>
  <c r="J69" i="33"/>
  <c r="J66" i="33"/>
  <c r="J65" i="33"/>
  <c r="J64" i="33"/>
  <c r="J63" i="33"/>
  <c r="J62" i="33"/>
  <c r="J61" i="33"/>
  <c r="J60" i="33"/>
  <c r="J58" i="33"/>
  <c r="J56" i="33"/>
  <c r="J55" i="33"/>
  <c r="J53" i="33"/>
  <c r="J52" i="33"/>
  <c r="J51" i="33"/>
  <c r="J50" i="33"/>
  <c r="J48" i="33"/>
  <c r="J47" i="33"/>
  <c r="J46" i="33"/>
  <c r="J44" i="33"/>
  <c r="J43" i="33"/>
  <c r="J42" i="33"/>
  <c r="J39" i="33"/>
  <c r="J38" i="33"/>
  <c r="J37" i="33"/>
  <c r="J36" i="33"/>
  <c r="J35" i="33"/>
  <c r="J33" i="33"/>
  <c r="J32" i="33"/>
  <c r="J31" i="33"/>
  <c r="J29" i="33"/>
  <c r="J27" i="33"/>
  <c r="J26" i="33"/>
  <c r="J25" i="33"/>
  <c r="J24" i="33"/>
  <c r="J23" i="33"/>
  <c r="J22" i="33"/>
  <c r="J21" i="33"/>
  <c r="J20" i="33"/>
  <c r="J19" i="33"/>
  <c r="J18" i="33"/>
  <c r="J17" i="33"/>
  <c r="J16" i="33"/>
  <c r="J15" i="33"/>
  <c r="J195" i="3"/>
  <c r="J194" i="3"/>
  <c r="J192" i="3"/>
  <c r="J191" i="3"/>
  <c r="J190" i="3"/>
  <c r="J188" i="3"/>
  <c r="J187" i="3"/>
  <c r="J186" i="3"/>
  <c r="J184" i="3"/>
  <c r="J183" i="3"/>
  <c r="J182" i="3"/>
  <c r="J179" i="3"/>
  <c r="J178" i="3"/>
  <c r="J177" i="3"/>
  <c r="J176" i="3"/>
  <c r="J175" i="3"/>
  <c r="J173" i="3"/>
  <c r="J172" i="3"/>
  <c r="J171" i="3"/>
  <c r="J170" i="3"/>
  <c r="J168" i="3"/>
  <c r="J167" i="3"/>
  <c r="J166" i="3"/>
  <c r="J165" i="3"/>
  <c r="J163" i="3"/>
  <c r="J162" i="3"/>
  <c r="J161" i="3"/>
  <c r="J158" i="3"/>
  <c r="J157" i="3"/>
  <c r="J156" i="3"/>
  <c r="J154" i="3"/>
  <c r="J153" i="3"/>
  <c r="J152" i="3"/>
  <c r="J150" i="3"/>
  <c r="J146" i="3"/>
  <c r="J145" i="3"/>
  <c r="J143" i="3"/>
  <c r="J142" i="3"/>
  <c r="J141" i="3"/>
  <c r="J139" i="3"/>
  <c r="J138" i="3"/>
  <c r="J137" i="3"/>
  <c r="J135" i="3"/>
  <c r="J134" i="3"/>
  <c r="J133" i="3"/>
  <c r="J130" i="3"/>
  <c r="J129" i="3"/>
  <c r="J128" i="3"/>
  <c r="J127" i="3"/>
  <c r="J126" i="3"/>
  <c r="J124" i="3"/>
  <c r="J123" i="3"/>
  <c r="J122" i="3"/>
  <c r="J121" i="3"/>
  <c r="J119" i="3"/>
  <c r="J118" i="3"/>
  <c r="J117" i="3"/>
  <c r="J116" i="3"/>
  <c r="J114" i="3"/>
  <c r="J113" i="3"/>
  <c r="J112" i="3"/>
  <c r="J109" i="3"/>
  <c r="J108" i="3"/>
  <c r="J107" i="3"/>
  <c r="J105" i="3"/>
  <c r="J104" i="3"/>
  <c r="J103" i="3"/>
  <c r="J99" i="3"/>
  <c r="J97" i="3"/>
  <c r="J96" i="3"/>
  <c r="J94" i="3"/>
  <c r="J93" i="3"/>
  <c r="J92" i="3"/>
  <c r="J91" i="3"/>
  <c r="J89" i="3"/>
  <c r="J88" i="3"/>
  <c r="J87" i="3"/>
  <c r="J85" i="3"/>
  <c r="J84" i="3"/>
  <c r="J83" i="3"/>
  <c r="J81" i="3"/>
  <c r="J80" i="3"/>
  <c r="J79" i="3"/>
  <c r="J77" i="3"/>
  <c r="J76" i="3"/>
  <c r="J75" i="3"/>
  <c r="J74" i="3"/>
  <c r="J72" i="3"/>
  <c r="J71" i="3"/>
  <c r="J70" i="3"/>
  <c r="J67" i="3"/>
  <c r="J66" i="3"/>
  <c r="J65" i="3"/>
  <c r="J64" i="3"/>
  <c r="J63" i="3"/>
  <c r="J62" i="3"/>
  <c r="J60" i="3"/>
  <c r="J58" i="3"/>
  <c r="J57" i="3"/>
  <c r="J56" i="3"/>
  <c r="J54" i="3"/>
  <c r="J53" i="3"/>
  <c r="J52" i="3"/>
  <c r="J51" i="3"/>
  <c r="J49" i="3"/>
  <c r="J48" i="3"/>
  <c r="J47" i="3"/>
  <c r="J46" i="3"/>
  <c r="J44" i="3"/>
  <c r="J43" i="3"/>
  <c r="J42" i="3"/>
  <c r="J39" i="3"/>
  <c r="J38" i="3"/>
  <c r="J37" i="3"/>
  <c r="J36" i="3"/>
  <c r="J35" i="3"/>
  <c r="J33" i="3"/>
  <c r="J32" i="3"/>
  <c r="J31" i="3"/>
  <c r="J29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L193" i="38"/>
  <c r="M193" i="38" s="1"/>
  <c r="J193" i="38"/>
  <c r="L189" i="38"/>
  <c r="M189" i="38" s="1"/>
  <c r="J189" i="38"/>
  <c r="L185" i="38"/>
  <c r="M185" i="38" s="1"/>
  <c r="J185" i="38"/>
  <c r="L181" i="38"/>
  <c r="M181" i="38" s="1"/>
  <c r="J181" i="38"/>
  <c r="L174" i="38"/>
  <c r="M174" i="38" s="1"/>
  <c r="J174" i="38"/>
  <c r="J169" i="38"/>
  <c r="L164" i="38"/>
  <c r="M164" i="38" s="1"/>
  <c r="J164" i="38"/>
  <c r="L160" i="38"/>
  <c r="M160" i="38" s="1"/>
  <c r="J160" i="38"/>
  <c r="J155" i="38"/>
  <c r="L151" i="38"/>
  <c r="M151" i="38" s="1"/>
  <c r="J151" i="38"/>
  <c r="L149" i="38"/>
  <c r="M149" i="38" s="1"/>
  <c r="J149" i="38"/>
  <c r="L144" i="38"/>
  <c r="M144" i="38" s="1"/>
  <c r="J144" i="38"/>
  <c r="L140" i="38"/>
  <c r="M140" i="38" s="1"/>
  <c r="J140" i="38"/>
  <c r="L136" i="38"/>
  <c r="M136" i="38" s="1"/>
  <c r="J136" i="38"/>
  <c r="L132" i="38"/>
  <c r="M132" i="38" s="1"/>
  <c r="J132" i="38"/>
  <c r="L125" i="38"/>
  <c r="M125" i="38" s="1"/>
  <c r="J125" i="38"/>
  <c r="J120" i="38"/>
  <c r="L115" i="38"/>
  <c r="M115" i="38" s="1"/>
  <c r="J115" i="38"/>
  <c r="L111" i="38"/>
  <c r="M111" i="38" s="1"/>
  <c r="J111" i="38"/>
  <c r="J106" i="38"/>
  <c r="L102" i="38"/>
  <c r="M102" i="38" s="1"/>
  <c r="J102" i="38"/>
  <c r="J98" i="38"/>
  <c r="J95" i="38"/>
  <c r="L90" i="38"/>
  <c r="M90" i="38" s="1"/>
  <c r="J90" i="38"/>
  <c r="L86" i="38"/>
  <c r="M86" i="38" s="1"/>
  <c r="J86" i="38"/>
  <c r="L82" i="38"/>
  <c r="M82" i="38" s="1"/>
  <c r="J82" i="38"/>
  <c r="L78" i="38"/>
  <c r="M78" i="38" s="1"/>
  <c r="J78" i="38"/>
  <c r="L73" i="38"/>
  <c r="M73" i="38" s="1"/>
  <c r="J73" i="38"/>
  <c r="L69" i="38"/>
  <c r="M69" i="38" s="1"/>
  <c r="J69" i="38"/>
  <c r="L61" i="38"/>
  <c r="M61" i="38" s="1"/>
  <c r="J61" i="38"/>
  <c r="L59" i="38"/>
  <c r="M59" i="38" s="1"/>
  <c r="J59" i="38"/>
  <c r="L55" i="38"/>
  <c r="M55" i="38" s="1"/>
  <c r="J55" i="38"/>
  <c r="L50" i="38"/>
  <c r="M50" i="38" s="1"/>
  <c r="J50" i="38"/>
  <c r="L45" i="38"/>
  <c r="M45" i="38" s="1"/>
  <c r="J45" i="38"/>
  <c r="L41" i="38"/>
  <c r="M41" i="38" s="1"/>
  <c r="J41" i="38"/>
  <c r="L34" i="38"/>
  <c r="M34" i="38" s="1"/>
  <c r="J34" i="38"/>
  <c r="L30" i="38"/>
  <c r="M30" i="38" s="1"/>
  <c r="J30" i="38"/>
  <c r="L28" i="38"/>
  <c r="M28" i="38" s="1"/>
  <c r="J28" i="38"/>
  <c r="L14" i="38"/>
  <c r="M14" i="38" s="1"/>
  <c r="J14" i="38"/>
  <c r="L191" i="37"/>
  <c r="M191" i="37" s="1"/>
  <c r="J191" i="37"/>
  <c r="L187" i="37"/>
  <c r="M187" i="37" s="1"/>
  <c r="J187" i="37"/>
  <c r="L183" i="37"/>
  <c r="M183" i="37" s="1"/>
  <c r="J183" i="37"/>
  <c r="L179" i="37"/>
  <c r="M179" i="37" s="1"/>
  <c r="J179" i="37"/>
  <c r="L172" i="37"/>
  <c r="M172" i="37" s="1"/>
  <c r="J172" i="37"/>
  <c r="J167" i="37"/>
  <c r="L162" i="37"/>
  <c r="M162" i="37" s="1"/>
  <c r="J162" i="37"/>
  <c r="L158" i="37"/>
  <c r="M158" i="37" s="1"/>
  <c r="J158" i="37"/>
  <c r="J153" i="37"/>
  <c r="L149" i="37"/>
  <c r="M149" i="37" s="1"/>
  <c r="J149" i="37"/>
  <c r="L147" i="37"/>
  <c r="M147" i="37" s="1"/>
  <c r="J147" i="37"/>
  <c r="L142" i="37"/>
  <c r="M142" i="37" s="1"/>
  <c r="J142" i="37"/>
  <c r="L138" i="37"/>
  <c r="M138" i="37" s="1"/>
  <c r="J138" i="37"/>
  <c r="L134" i="37"/>
  <c r="M134" i="37" s="1"/>
  <c r="J134" i="37"/>
  <c r="L130" i="37"/>
  <c r="M130" i="37" s="1"/>
  <c r="J130" i="37"/>
  <c r="L123" i="37"/>
  <c r="M123" i="37" s="1"/>
  <c r="J123" i="37"/>
  <c r="J118" i="37"/>
  <c r="L113" i="37"/>
  <c r="M113" i="37" s="1"/>
  <c r="J113" i="37"/>
  <c r="L109" i="37"/>
  <c r="M109" i="37" s="1"/>
  <c r="J109" i="37"/>
  <c r="J104" i="37"/>
  <c r="L100" i="37"/>
  <c r="M100" i="37" s="1"/>
  <c r="J100" i="37"/>
  <c r="J96" i="37"/>
  <c r="J93" i="37"/>
  <c r="L88" i="37"/>
  <c r="M88" i="37" s="1"/>
  <c r="J88" i="37"/>
  <c r="L84" i="37"/>
  <c r="M84" i="37" s="1"/>
  <c r="J84" i="37"/>
  <c r="L80" i="37"/>
  <c r="M80" i="37" s="1"/>
  <c r="J80" i="37"/>
  <c r="L76" i="37"/>
  <c r="M76" i="37" s="1"/>
  <c r="J76" i="37"/>
  <c r="L71" i="37"/>
  <c r="M71" i="37" s="1"/>
  <c r="J71" i="37"/>
  <c r="L67" i="37"/>
  <c r="M67" i="37" s="1"/>
  <c r="J67" i="37"/>
  <c r="L59" i="37"/>
  <c r="M59" i="37" s="1"/>
  <c r="J59" i="37"/>
  <c r="L57" i="37"/>
  <c r="M57" i="37" s="1"/>
  <c r="J57" i="37"/>
  <c r="L54" i="37"/>
  <c r="M54" i="37" s="1"/>
  <c r="J54" i="37"/>
  <c r="L49" i="37"/>
  <c r="M49" i="37" s="1"/>
  <c r="J49" i="37"/>
  <c r="L45" i="37"/>
  <c r="M45" i="37" s="1"/>
  <c r="J45" i="37"/>
  <c r="L41" i="37"/>
  <c r="M41" i="37" s="1"/>
  <c r="J41" i="37"/>
  <c r="L34" i="37"/>
  <c r="M34" i="37" s="1"/>
  <c r="J34" i="37"/>
  <c r="L30" i="37"/>
  <c r="M30" i="37" s="1"/>
  <c r="J30" i="37"/>
  <c r="L28" i="37"/>
  <c r="M28" i="37" s="1"/>
  <c r="J28" i="37"/>
  <c r="L14" i="37"/>
  <c r="M14" i="37" s="1"/>
  <c r="J14" i="37"/>
  <c r="L193" i="36"/>
  <c r="M193" i="36" s="1"/>
  <c r="J193" i="36"/>
  <c r="L189" i="36"/>
  <c r="M189" i="36" s="1"/>
  <c r="J189" i="36"/>
  <c r="L185" i="36"/>
  <c r="M185" i="36" s="1"/>
  <c r="J185" i="36"/>
  <c r="L181" i="36"/>
  <c r="M181" i="36" s="1"/>
  <c r="J181" i="36"/>
  <c r="L174" i="36"/>
  <c r="M174" i="36" s="1"/>
  <c r="J174" i="36"/>
  <c r="J169" i="36"/>
  <c r="L164" i="36"/>
  <c r="M164" i="36" s="1"/>
  <c r="J164" i="36"/>
  <c r="L160" i="36"/>
  <c r="M160" i="36" s="1"/>
  <c r="J160" i="36"/>
  <c r="J155" i="36"/>
  <c r="L151" i="36"/>
  <c r="M151" i="36" s="1"/>
  <c r="J151" i="36"/>
  <c r="L149" i="36"/>
  <c r="M149" i="36" s="1"/>
  <c r="J149" i="36"/>
  <c r="L144" i="36"/>
  <c r="M144" i="36" s="1"/>
  <c r="J144" i="36"/>
  <c r="L140" i="36"/>
  <c r="M140" i="36" s="1"/>
  <c r="J140" i="36"/>
  <c r="L136" i="36"/>
  <c r="M136" i="36" s="1"/>
  <c r="J136" i="36"/>
  <c r="L132" i="36"/>
  <c r="M132" i="36" s="1"/>
  <c r="J132" i="36"/>
  <c r="L125" i="36"/>
  <c r="M125" i="36" s="1"/>
  <c r="J125" i="36"/>
  <c r="J120" i="36"/>
  <c r="L115" i="36"/>
  <c r="M115" i="36" s="1"/>
  <c r="J115" i="36"/>
  <c r="L111" i="36"/>
  <c r="M111" i="36" s="1"/>
  <c r="J111" i="36"/>
  <c r="J106" i="36"/>
  <c r="L102" i="36"/>
  <c r="M102" i="36" s="1"/>
  <c r="J102" i="36"/>
  <c r="J98" i="36"/>
  <c r="J95" i="36"/>
  <c r="L90" i="36"/>
  <c r="M90" i="36" s="1"/>
  <c r="J90" i="36"/>
  <c r="L86" i="36"/>
  <c r="M86" i="36" s="1"/>
  <c r="J86" i="36"/>
  <c r="L82" i="36"/>
  <c r="M82" i="36" s="1"/>
  <c r="J82" i="36"/>
  <c r="L78" i="36"/>
  <c r="M78" i="36" s="1"/>
  <c r="J78" i="36"/>
  <c r="L73" i="36"/>
  <c r="M73" i="36" s="1"/>
  <c r="J73" i="36"/>
  <c r="L69" i="36"/>
  <c r="M69" i="36" s="1"/>
  <c r="J69" i="36"/>
  <c r="L61" i="36"/>
  <c r="M61" i="36" s="1"/>
  <c r="J61" i="36"/>
  <c r="L59" i="36"/>
  <c r="M59" i="36" s="1"/>
  <c r="J59" i="36"/>
  <c r="L55" i="36"/>
  <c r="M55" i="36" s="1"/>
  <c r="J55" i="36"/>
  <c r="L50" i="36"/>
  <c r="M50" i="36" s="1"/>
  <c r="J50" i="36"/>
  <c r="L45" i="36"/>
  <c r="M45" i="36" s="1"/>
  <c r="J45" i="36"/>
  <c r="L41" i="36"/>
  <c r="M41" i="36" s="1"/>
  <c r="J41" i="36"/>
  <c r="L34" i="36"/>
  <c r="M34" i="36" s="1"/>
  <c r="J34" i="36"/>
  <c r="L30" i="36"/>
  <c r="M30" i="36" s="1"/>
  <c r="J30" i="36"/>
  <c r="L28" i="36"/>
  <c r="M28" i="36" s="1"/>
  <c r="J28" i="36"/>
  <c r="L14" i="36"/>
  <c r="M14" i="36" s="1"/>
  <c r="J14" i="36"/>
  <c r="L192" i="35"/>
  <c r="M192" i="35" s="1"/>
  <c r="J192" i="35"/>
  <c r="L188" i="35"/>
  <c r="M188" i="35" s="1"/>
  <c r="J188" i="35"/>
  <c r="L184" i="35"/>
  <c r="M184" i="35" s="1"/>
  <c r="J184" i="35"/>
  <c r="L180" i="35"/>
  <c r="M180" i="35" s="1"/>
  <c r="J180" i="35"/>
  <c r="L173" i="35"/>
  <c r="M173" i="35" s="1"/>
  <c r="J173" i="35"/>
  <c r="J168" i="35"/>
  <c r="L163" i="35"/>
  <c r="M163" i="35" s="1"/>
  <c r="J163" i="35"/>
  <c r="L159" i="35"/>
  <c r="M159" i="35" s="1"/>
  <c r="J159" i="35"/>
  <c r="J154" i="35"/>
  <c r="L150" i="35"/>
  <c r="M150" i="35" s="1"/>
  <c r="J150" i="35"/>
  <c r="L148" i="35"/>
  <c r="M148" i="35" s="1"/>
  <c r="J148" i="35"/>
  <c r="L143" i="35"/>
  <c r="M143" i="35" s="1"/>
  <c r="J143" i="35"/>
  <c r="L139" i="35"/>
  <c r="M139" i="35" s="1"/>
  <c r="J139" i="35"/>
  <c r="L135" i="35"/>
  <c r="M135" i="35" s="1"/>
  <c r="J135" i="35"/>
  <c r="L131" i="35"/>
  <c r="M131" i="35" s="1"/>
  <c r="J131" i="35"/>
  <c r="L124" i="35"/>
  <c r="M124" i="35" s="1"/>
  <c r="J124" i="35"/>
  <c r="J119" i="35"/>
  <c r="L114" i="35"/>
  <c r="M114" i="35" s="1"/>
  <c r="J114" i="35"/>
  <c r="L110" i="35"/>
  <c r="M110" i="35" s="1"/>
  <c r="J110" i="35"/>
  <c r="J105" i="35"/>
  <c r="L101" i="35"/>
  <c r="M101" i="35" s="1"/>
  <c r="J101" i="35"/>
  <c r="J97" i="35"/>
  <c r="J94" i="35"/>
  <c r="L89" i="35"/>
  <c r="M89" i="35" s="1"/>
  <c r="J89" i="35"/>
  <c r="L85" i="35"/>
  <c r="M85" i="35" s="1"/>
  <c r="J85" i="35"/>
  <c r="L81" i="35"/>
  <c r="M81" i="35" s="1"/>
  <c r="J81" i="35"/>
  <c r="L77" i="35"/>
  <c r="M77" i="35" s="1"/>
  <c r="J77" i="35"/>
  <c r="L72" i="35"/>
  <c r="M72" i="35" s="1"/>
  <c r="J72" i="35"/>
  <c r="L68" i="35"/>
  <c r="M68" i="35" s="1"/>
  <c r="J68" i="35"/>
  <c r="L59" i="35"/>
  <c r="M59" i="35" s="1"/>
  <c r="J59" i="35"/>
  <c r="L57" i="35"/>
  <c r="M57" i="35" s="1"/>
  <c r="J57" i="35"/>
  <c r="L54" i="35"/>
  <c r="M54" i="35" s="1"/>
  <c r="J54" i="35"/>
  <c r="L49" i="35"/>
  <c r="M49" i="35" s="1"/>
  <c r="J49" i="35"/>
  <c r="L45" i="35"/>
  <c r="M45" i="35" s="1"/>
  <c r="J45" i="35"/>
  <c r="L41" i="35"/>
  <c r="M41" i="35" s="1"/>
  <c r="J41" i="35"/>
  <c r="L34" i="35"/>
  <c r="M34" i="35" s="1"/>
  <c r="J34" i="35"/>
  <c r="L30" i="35"/>
  <c r="M30" i="35" s="1"/>
  <c r="J30" i="35"/>
  <c r="L28" i="35"/>
  <c r="M28" i="35" s="1"/>
  <c r="J28" i="35"/>
  <c r="L14" i="35"/>
  <c r="M14" i="35" s="1"/>
  <c r="J14" i="35"/>
  <c r="L192" i="34"/>
  <c r="M192" i="34" s="1"/>
  <c r="J192" i="34"/>
  <c r="L188" i="34"/>
  <c r="M188" i="34" s="1"/>
  <c r="J188" i="34"/>
  <c r="L184" i="34"/>
  <c r="M184" i="34" s="1"/>
  <c r="J184" i="34"/>
  <c r="L180" i="34"/>
  <c r="M180" i="34" s="1"/>
  <c r="J180" i="34"/>
  <c r="L173" i="34"/>
  <c r="M173" i="34" s="1"/>
  <c r="J173" i="34"/>
  <c r="J168" i="34"/>
  <c r="L163" i="34"/>
  <c r="M163" i="34" s="1"/>
  <c r="J163" i="34"/>
  <c r="L159" i="34"/>
  <c r="M159" i="34" s="1"/>
  <c r="J159" i="34"/>
  <c r="J154" i="34"/>
  <c r="L150" i="34"/>
  <c r="M150" i="34" s="1"/>
  <c r="J150" i="34"/>
  <c r="L148" i="34"/>
  <c r="M148" i="34" s="1"/>
  <c r="J148" i="34"/>
  <c r="L143" i="34"/>
  <c r="M143" i="34" s="1"/>
  <c r="J143" i="34"/>
  <c r="L139" i="34"/>
  <c r="M139" i="34" s="1"/>
  <c r="J139" i="34"/>
  <c r="L135" i="34"/>
  <c r="M135" i="34" s="1"/>
  <c r="J135" i="34"/>
  <c r="L131" i="34"/>
  <c r="M131" i="34" s="1"/>
  <c r="J131" i="34"/>
  <c r="L124" i="34"/>
  <c r="M124" i="34" s="1"/>
  <c r="J124" i="34"/>
  <c r="J119" i="34"/>
  <c r="L114" i="34"/>
  <c r="M114" i="34" s="1"/>
  <c r="J114" i="34"/>
  <c r="L110" i="34"/>
  <c r="M110" i="34" s="1"/>
  <c r="J110" i="34"/>
  <c r="J105" i="34"/>
  <c r="L101" i="34"/>
  <c r="M101" i="34" s="1"/>
  <c r="J101" i="34"/>
  <c r="J97" i="34"/>
  <c r="J94" i="34"/>
  <c r="L89" i="34"/>
  <c r="M89" i="34" s="1"/>
  <c r="J89" i="34"/>
  <c r="L85" i="34"/>
  <c r="M85" i="34" s="1"/>
  <c r="J85" i="34"/>
  <c r="L81" i="34"/>
  <c r="M81" i="34" s="1"/>
  <c r="J81" i="34"/>
  <c r="L77" i="34"/>
  <c r="M77" i="34" s="1"/>
  <c r="J77" i="34"/>
  <c r="L72" i="34"/>
  <c r="M72" i="34" s="1"/>
  <c r="J72" i="34"/>
  <c r="L68" i="34"/>
  <c r="M68" i="34" s="1"/>
  <c r="J68" i="34"/>
  <c r="L60" i="34"/>
  <c r="M60" i="34" s="1"/>
  <c r="J60" i="34"/>
  <c r="L58" i="34"/>
  <c r="M58" i="34" s="1"/>
  <c r="J58" i="34"/>
  <c r="L54" i="34"/>
  <c r="M54" i="34" s="1"/>
  <c r="J54" i="34"/>
  <c r="L49" i="34"/>
  <c r="M49" i="34" s="1"/>
  <c r="J49" i="34"/>
  <c r="L45" i="34"/>
  <c r="M45" i="34" s="1"/>
  <c r="J45" i="34"/>
  <c r="L41" i="34"/>
  <c r="M41" i="34" s="1"/>
  <c r="J41" i="34"/>
  <c r="L34" i="34"/>
  <c r="M34" i="34" s="1"/>
  <c r="J34" i="34"/>
  <c r="L30" i="34"/>
  <c r="M30" i="34" s="1"/>
  <c r="J30" i="34"/>
  <c r="L28" i="34"/>
  <c r="M28" i="34" s="1"/>
  <c r="J28" i="34"/>
  <c r="L14" i="34"/>
  <c r="M14" i="34" s="1"/>
  <c r="J14" i="34"/>
  <c r="L192" i="33"/>
  <c r="M192" i="33" s="1"/>
  <c r="J192" i="33"/>
  <c r="L188" i="33"/>
  <c r="M188" i="33" s="1"/>
  <c r="J188" i="33"/>
  <c r="L184" i="33"/>
  <c r="M184" i="33" s="1"/>
  <c r="J184" i="33"/>
  <c r="L180" i="33"/>
  <c r="M180" i="33" s="1"/>
  <c r="J180" i="33"/>
  <c r="L173" i="33"/>
  <c r="M173" i="33" s="1"/>
  <c r="J173" i="33"/>
  <c r="J168" i="33"/>
  <c r="L163" i="33"/>
  <c r="M163" i="33" s="1"/>
  <c r="J163" i="33"/>
  <c r="L159" i="33"/>
  <c r="M159" i="33" s="1"/>
  <c r="J159" i="33"/>
  <c r="J154" i="33"/>
  <c r="L150" i="33"/>
  <c r="M150" i="33" s="1"/>
  <c r="J150" i="33"/>
  <c r="L148" i="33"/>
  <c r="M148" i="33" s="1"/>
  <c r="J148" i="33"/>
  <c r="L143" i="33"/>
  <c r="M143" i="33" s="1"/>
  <c r="J143" i="33"/>
  <c r="L139" i="33"/>
  <c r="M139" i="33" s="1"/>
  <c r="J139" i="33"/>
  <c r="L135" i="33"/>
  <c r="M135" i="33" s="1"/>
  <c r="J135" i="33"/>
  <c r="L131" i="33"/>
  <c r="M131" i="33" s="1"/>
  <c r="J131" i="33"/>
  <c r="L124" i="33"/>
  <c r="M124" i="33" s="1"/>
  <c r="J124" i="33"/>
  <c r="J119" i="33"/>
  <c r="L114" i="33"/>
  <c r="M114" i="33" s="1"/>
  <c r="J114" i="33"/>
  <c r="L110" i="33"/>
  <c r="M110" i="33" s="1"/>
  <c r="J110" i="33"/>
  <c r="J105" i="33"/>
  <c r="L101" i="33"/>
  <c r="M101" i="33" s="1"/>
  <c r="J101" i="33"/>
  <c r="J97" i="33"/>
  <c r="J94" i="33"/>
  <c r="L89" i="33"/>
  <c r="M89" i="33" s="1"/>
  <c r="J89" i="33"/>
  <c r="L85" i="33"/>
  <c r="M85" i="33" s="1"/>
  <c r="J85" i="33"/>
  <c r="L81" i="33"/>
  <c r="M81" i="33" s="1"/>
  <c r="J81" i="33"/>
  <c r="L77" i="33"/>
  <c r="M77" i="33" s="1"/>
  <c r="J77" i="33"/>
  <c r="L72" i="33"/>
  <c r="M72" i="33" s="1"/>
  <c r="J72" i="33"/>
  <c r="L68" i="33"/>
  <c r="M68" i="33" s="1"/>
  <c r="J68" i="33"/>
  <c r="L59" i="33"/>
  <c r="M59" i="33" s="1"/>
  <c r="J59" i="33"/>
  <c r="L57" i="33"/>
  <c r="M57" i="33" s="1"/>
  <c r="J57" i="33"/>
  <c r="L54" i="33"/>
  <c r="M54" i="33" s="1"/>
  <c r="J54" i="33"/>
  <c r="L49" i="33"/>
  <c r="M49" i="33" s="1"/>
  <c r="J49" i="33"/>
  <c r="L45" i="33"/>
  <c r="M45" i="33" s="1"/>
  <c r="J45" i="33"/>
  <c r="L41" i="33"/>
  <c r="M41" i="33" s="1"/>
  <c r="J41" i="33"/>
  <c r="L34" i="33"/>
  <c r="M34" i="33" s="1"/>
  <c r="J34" i="33"/>
  <c r="L30" i="33"/>
  <c r="M30" i="33" s="1"/>
  <c r="J30" i="33"/>
  <c r="L28" i="33"/>
  <c r="M28" i="33" s="1"/>
  <c r="J28" i="33"/>
  <c r="L14" i="33"/>
  <c r="M14" i="33" s="1"/>
  <c r="J14" i="33"/>
  <c r="L193" i="3"/>
  <c r="M193" i="3" s="1"/>
  <c r="J193" i="3"/>
  <c r="J189" i="3"/>
  <c r="L185" i="3"/>
  <c r="M185" i="3" s="1"/>
  <c r="J185" i="3"/>
  <c r="L181" i="3"/>
  <c r="M181" i="3" s="1"/>
  <c r="J181" i="3"/>
  <c r="J174" i="3"/>
  <c r="J169" i="3"/>
  <c r="J164" i="3"/>
  <c r="J160" i="3"/>
  <c r="J155" i="3"/>
  <c r="L151" i="3"/>
  <c r="M151" i="3" s="1"/>
  <c r="J151" i="3"/>
  <c r="L149" i="3"/>
  <c r="M149" i="3" s="1"/>
  <c r="J149" i="3"/>
  <c r="J144" i="3"/>
  <c r="J140" i="3"/>
  <c r="J136" i="3"/>
  <c r="J132" i="3"/>
  <c r="J125" i="3"/>
  <c r="J120" i="3"/>
  <c r="J115" i="3"/>
  <c r="J111" i="3"/>
  <c r="J106" i="3"/>
  <c r="J102" i="3"/>
  <c r="J98" i="3"/>
  <c r="J95" i="3"/>
  <c r="L90" i="3"/>
  <c r="M90" i="3" s="1"/>
  <c r="J90" i="3"/>
  <c r="J86" i="3"/>
  <c r="J82" i="3"/>
  <c r="J78" i="3"/>
  <c r="L73" i="3"/>
  <c r="M73" i="3" s="1"/>
  <c r="J73" i="3"/>
  <c r="L69" i="3"/>
  <c r="M69" i="3" s="1"/>
  <c r="J69" i="3"/>
  <c r="L61" i="3"/>
  <c r="M61" i="3" s="1"/>
  <c r="J61" i="3"/>
  <c r="L59" i="3"/>
  <c r="M59" i="3" s="1"/>
  <c r="J59" i="3"/>
  <c r="L55" i="3"/>
  <c r="M55" i="3" s="1"/>
  <c r="J55" i="3"/>
  <c r="L50" i="3"/>
  <c r="M50" i="3" s="1"/>
  <c r="J50" i="3"/>
  <c r="L45" i="3"/>
  <c r="M45" i="3" s="1"/>
  <c r="J45" i="3"/>
  <c r="L41" i="3"/>
  <c r="M41" i="3" s="1"/>
  <c r="J41" i="3"/>
  <c r="J34" i="3"/>
  <c r="J30" i="3"/>
  <c r="L28" i="3"/>
  <c r="M28" i="3" s="1"/>
  <c r="J28" i="3"/>
  <c r="J14" i="3"/>
  <c r="G189" i="38" l="1"/>
  <c r="G179" i="38"/>
  <c r="K179" i="38" s="1"/>
  <c r="M179" i="38" s="1"/>
  <c r="G174" i="38"/>
  <c r="G177" i="38" s="1"/>
  <c r="K177" i="38" s="1"/>
  <c r="M177" i="38" s="1"/>
  <c r="G168" i="38"/>
  <c r="K168" i="38" s="1"/>
  <c r="M168" i="38" s="1"/>
  <c r="G164" i="38"/>
  <c r="G166" i="38" s="1"/>
  <c r="K166" i="38" s="1"/>
  <c r="M166" i="38" s="1"/>
  <c r="G173" i="38"/>
  <c r="K173" i="38" s="1"/>
  <c r="M173" i="38" s="1"/>
  <c r="G171" i="38"/>
  <c r="K171" i="38" s="1"/>
  <c r="M171" i="38" s="1"/>
  <c r="G160" i="38"/>
  <c r="G161" i="38" s="1"/>
  <c r="K161" i="38" s="1"/>
  <c r="M161" i="38" s="1"/>
  <c r="A179" i="38"/>
  <c r="A178" i="38"/>
  <c r="A177" i="38"/>
  <c r="A176" i="38"/>
  <c r="A175" i="38"/>
  <c r="A174" i="38"/>
  <c r="A173" i="38"/>
  <c r="G172" i="38"/>
  <c r="K172" i="38" s="1"/>
  <c r="M172" i="38" s="1"/>
  <c r="A172" i="38"/>
  <c r="A171" i="38"/>
  <c r="A170" i="38"/>
  <c r="A169" i="38"/>
  <c r="A168" i="38"/>
  <c r="A167" i="38"/>
  <c r="A166" i="38"/>
  <c r="A165" i="38"/>
  <c r="A164" i="38"/>
  <c r="A163" i="38"/>
  <c r="A162" i="38"/>
  <c r="A161" i="38"/>
  <c r="A160" i="38"/>
  <c r="A159" i="38"/>
  <c r="G140" i="38"/>
  <c r="G130" i="38"/>
  <c r="K130" i="38" s="1"/>
  <c r="M130" i="38" s="1"/>
  <c r="G125" i="38"/>
  <c r="G128" i="38" s="1"/>
  <c r="K128" i="38" s="1"/>
  <c r="M128" i="38" s="1"/>
  <c r="G119" i="38"/>
  <c r="K119" i="38" s="1"/>
  <c r="M119" i="38" s="1"/>
  <c r="G115" i="38"/>
  <c r="G117" i="38" s="1"/>
  <c r="K117" i="38" s="1"/>
  <c r="M117" i="38" s="1"/>
  <c r="G124" i="38"/>
  <c r="K124" i="38" s="1"/>
  <c r="M124" i="38" s="1"/>
  <c r="G122" i="38"/>
  <c r="K122" i="38" s="1"/>
  <c r="M122" i="38" s="1"/>
  <c r="G111" i="38"/>
  <c r="G112" i="38" s="1"/>
  <c r="K112" i="38" s="1"/>
  <c r="M112" i="38" s="1"/>
  <c r="A130" i="38"/>
  <c r="A129" i="38"/>
  <c r="A128" i="38"/>
  <c r="A127" i="38"/>
  <c r="A126" i="38"/>
  <c r="A125" i="38"/>
  <c r="A124" i="38"/>
  <c r="G123" i="38"/>
  <c r="K123" i="38" s="1"/>
  <c r="M123" i="38" s="1"/>
  <c r="A123" i="38"/>
  <c r="A122" i="38"/>
  <c r="A121" i="38"/>
  <c r="A120" i="38"/>
  <c r="A119" i="38"/>
  <c r="A118" i="38"/>
  <c r="A117" i="38"/>
  <c r="A116" i="38"/>
  <c r="A115" i="38"/>
  <c r="A114" i="38"/>
  <c r="A113" i="38"/>
  <c r="A112" i="38"/>
  <c r="A111" i="38"/>
  <c r="A110" i="38"/>
  <c r="G66" i="38"/>
  <c r="K66" i="38" s="1"/>
  <c r="M66" i="38" s="1"/>
  <c r="G67" i="38"/>
  <c r="K67" i="38" s="1"/>
  <c r="M67" i="38" s="1"/>
  <c r="A67" i="38"/>
  <c r="G54" i="38"/>
  <c r="K54" i="38" s="1"/>
  <c r="M54" i="38" s="1"/>
  <c r="G57" i="38"/>
  <c r="K57" i="38" s="1"/>
  <c r="M57" i="38" s="1"/>
  <c r="G58" i="38"/>
  <c r="K58" i="38" s="1"/>
  <c r="M58" i="38" s="1"/>
  <c r="G56" i="38"/>
  <c r="K56" i="38" s="1"/>
  <c r="M56" i="38" s="1"/>
  <c r="G49" i="38"/>
  <c r="K49" i="38" s="1"/>
  <c r="M49" i="38" s="1"/>
  <c r="G47" i="38"/>
  <c r="K47" i="38" s="1"/>
  <c r="M47" i="38" s="1"/>
  <c r="G48" i="38"/>
  <c r="K48" i="38" s="1"/>
  <c r="M48" i="38" s="1"/>
  <c r="A66" i="38"/>
  <c r="G65" i="38"/>
  <c r="K65" i="38" s="1"/>
  <c r="M65" i="38" s="1"/>
  <c r="A65" i="38"/>
  <c r="G64" i="38"/>
  <c r="K64" i="38" s="1"/>
  <c r="M64" i="38" s="1"/>
  <c r="A64" i="38"/>
  <c r="G63" i="38"/>
  <c r="K63" i="38" s="1"/>
  <c r="M63" i="38" s="1"/>
  <c r="A63" i="38"/>
  <c r="G62" i="38"/>
  <c r="K62" i="38" s="1"/>
  <c r="M62" i="38" s="1"/>
  <c r="A62" i="38"/>
  <c r="A61" i="38"/>
  <c r="G60" i="38"/>
  <c r="K60" i="38" s="1"/>
  <c r="M60" i="38" s="1"/>
  <c r="A60" i="38"/>
  <c r="A59" i="38"/>
  <c r="A58" i="38"/>
  <c r="A57" i="38"/>
  <c r="A56" i="38"/>
  <c r="A55" i="38"/>
  <c r="A54" i="38"/>
  <c r="G53" i="38"/>
  <c r="K53" i="38" s="1"/>
  <c r="M53" i="38" s="1"/>
  <c r="A53" i="38"/>
  <c r="G52" i="38"/>
  <c r="K52" i="38" s="1"/>
  <c r="M52" i="38" s="1"/>
  <c r="A52" i="38"/>
  <c r="G51" i="38"/>
  <c r="K51" i="38" s="1"/>
  <c r="M51" i="38" s="1"/>
  <c r="A51" i="38"/>
  <c r="A50" i="38"/>
  <c r="A49" i="38"/>
  <c r="A48" i="38"/>
  <c r="A47" i="38"/>
  <c r="G46" i="38"/>
  <c r="K46" i="38" s="1"/>
  <c r="M46" i="38" s="1"/>
  <c r="A46" i="38"/>
  <c r="A45" i="38"/>
  <c r="G44" i="38"/>
  <c r="K44" i="38" s="1"/>
  <c r="M44" i="38" s="1"/>
  <c r="A44" i="38"/>
  <c r="G43" i="38"/>
  <c r="K43" i="38" s="1"/>
  <c r="M43" i="38" s="1"/>
  <c r="A43" i="38"/>
  <c r="G42" i="38"/>
  <c r="K42" i="38" s="1"/>
  <c r="M42" i="38" s="1"/>
  <c r="A42" i="38"/>
  <c r="A41" i="38"/>
  <c r="A40" i="38"/>
  <c r="G166" i="37"/>
  <c r="K166" i="37" s="1"/>
  <c r="M166" i="37" s="1"/>
  <c r="G162" i="37"/>
  <c r="G165" i="37" s="1"/>
  <c r="K165" i="37" s="1"/>
  <c r="M165" i="37" s="1"/>
  <c r="G187" i="37"/>
  <c r="G177" i="37"/>
  <c r="K177" i="37" s="1"/>
  <c r="M177" i="37" s="1"/>
  <c r="G172" i="37"/>
  <c r="G175" i="37" s="1"/>
  <c r="K175" i="37" s="1"/>
  <c r="M175" i="37" s="1"/>
  <c r="G169" i="37"/>
  <c r="K169" i="37" s="1"/>
  <c r="M169" i="37" s="1"/>
  <c r="G171" i="37"/>
  <c r="K171" i="37" s="1"/>
  <c r="M171" i="37" s="1"/>
  <c r="G170" i="37"/>
  <c r="K170" i="37" s="1"/>
  <c r="M170" i="37" s="1"/>
  <c r="G158" i="37"/>
  <c r="G159" i="37" s="1"/>
  <c r="K159" i="37" s="1"/>
  <c r="M159" i="37" s="1"/>
  <c r="A177" i="37"/>
  <c r="A176" i="37"/>
  <c r="A175" i="37"/>
  <c r="A174" i="37"/>
  <c r="A173" i="37"/>
  <c r="A172" i="37"/>
  <c r="A171" i="37"/>
  <c r="A170" i="37"/>
  <c r="A169" i="37"/>
  <c r="A168" i="37"/>
  <c r="A167" i="37"/>
  <c r="A166" i="37"/>
  <c r="A165" i="37"/>
  <c r="A164" i="37"/>
  <c r="A163" i="37"/>
  <c r="A162" i="37"/>
  <c r="A161" i="37"/>
  <c r="A160" i="37"/>
  <c r="A159" i="37"/>
  <c r="A158" i="37"/>
  <c r="A157" i="37"/>
  <c r="G138" i="37"/>
  <c r="G128" i="37"/>
  <c r="K128" i="37" s="1"/>
  <c r="M128" i="37" s="1"/>
  <c r="G123" i="37"/>
  <c r="G124" i="37" s="1"/>
  <c r="K124" i="37" s="1"/>
  <c r="M124" i="37" s="1"/>
  <c r="G117" i="37"/>
  <c r="K117" i="37" s="1"/>
  <c r="M117" i="37" s="1"/>
  <c r="G113" i="37"/>
  <c r="G115" i="37" s="1"/>
  <c r="K115" i="37" s="1"/>
  <c r="M115" i="37" s="1"/>
  <c r="G120" i="37"/>
  <c r="K120" i="37" s="1"/>
  <c r="M120" i="37" s="1"/>
  <c r="G122" i="37"/>
  <c r="K122" i="37" s="1"/>
  <c r="M122" i="37" s="1"/>
  <c r="G121" i="37"/>
  <c r="K121" i="37" s="1"/>
  <c r="M121" i="37" s="1"/>
  <c r="G109" i="37"/>
  <c r="G110" i="37" s="1"/>
  <c r="K110" i="37" s="1"/>
  <c r="M110" i="37" s="1"/>
  <c r="A128" i="37"/>
  <c r="A127" i="37"/>
  <c r="A126" i="37"/>
  <c r="A125" i="37"/>
  <c r="A124" i="37"/>
  <c r="A123" i="37"/>
  <c r="A122" i="37"/>
  <c r="A121" i="37"/>
  <c r="A120" i="37"/>
  <c r="A119" i="37"/>
  <c r="A118" i="37"/>
  <c r="A117" i="37"/>
  <c r="A116" i="37"/>
  <c r="A115" i="37"/>
  <c r="A114" i="37"/>
  <c r="A113" i="37"/>
  <c r="A112" i="37"/>
  <c r="A111" i="37"/>
  <c r="A110" i="37"/>
  <c r="A109" i="37"/>
  <c r="A108" i="37"/>
  <c r="G65" i="37"/>
  <c r="K65" i="37" s="1"/>
  <c r="M65" i="37" s="1"/>
  <c r="G64" i="37"/>
  <c r="K64" i="37" s="1"/>
  <c r="M64" i="37" s="1"/>
  <c r="G56" i="37"/>
  <c r="K56" i="37" s="1"/>
  <c r="M56" i="37" s="1"/>
  <c r="G55" i="37"/>
  <c r="K55" i="37" s="1"/>
  <c r="M55" i="37" s="1"/>
  <c r="G53" i="37"/>
  <c r="K53" i="37" s="1"/>
  <c r="M53" i="37" s="1"/>
  <c r="G47" i="37"/>
  <c r="K47" i="37" s="1"/>
  <c r="M47" i="37" s="1"/>
  <c r="G48" i="37"/>
  <c r="K48" i="37" s="1"/>
  <c r="M48" i="37" s="1"/>
  <c r="A65" i="37"/>
  <c r="A64" i="37"/>
  <c r="G63" i="37"/>
  <c r="K63" i="37" s="1"/>
  <c r="M63" i="37" s="1"/>
  <c r="A63" i="37"/>
  <c r="G62" i="37"/>
  <c r="K62" i="37" s="1"/>
  <c r="M62" i="37" s="1"/>
  <c r="A62" i="37"/>
  <c r="G61" i="37"/>
  <c r="K61" i="37" s="1"/>
  <c r="M61" i="37" s="1"/>
  <c r="A61" i="37"/>
  <c r="G60" i="37"/>
  <c r="K60" i="37" s="1"/>
  <c r="M60" i="37" s="1"/>
  <c r="A60" i="37"/>
  <c r="A59" i="37"/>
  <c r="G58" i="37"/>
  <c r="K58" i="37" s="1"/>
  <c r="M58" i="37" s="1"/>
  <c r="A58" i="37"/>
  <c r="A57" i="37"/>
  <c r="A56" i="37"/>
  <c r="A55" i="37"/>
  <c r="A54" i="37"/>
  <c r="A53" i="37"/>
  <c r="G52" i="37"/>
  <c r="K52" i="37" s="1"/>
  <c r="M52" i="37" s="1"/>
  <c r="A52" i="37"/>
  <c r="G51" i="37"/>
  <c r="K51" i="37" s="1"/>
  <c r="M51" i="37" s="1"/>
  <c r="A51" i="37"/>
  <c r="G50" i="37"/>
  <c r="K50" i="37" s="1"/>
  <c r="M50" i="37" s="1"/>
  <c r="A50" i="37"/>
  <c r="A49" i="37"/>
  <c r="A48" i="37"/>
  <c r="A47" i="37"/>
  <c r="G46" i="37"/>
  <c r="K46" i="37" s="1"/>
  <c r="M46" i="37" s="1"/>
  <c r="A46" i="37"/>
  <c r="A45" i="37"/>
  <c r="G44" i="37"/>
  <c r="K44" i="37" s="1"/>
  <c r="M44" i="37" s="1"/>
  <c r="A44" i="37"/>
  <c r="G43" i="37"/>
  <c r="K43" i="37" s="1"/>
  <c r="M43" i="37" s="1"/>
  <c r="A43" i="37"/>
  <c r="G42" i="37"/>
  <c r="K42" i="37" s="1"/>
  <c r="M42" i="37" s="1"/>
  <c r="A42" i="37"/>
  <c r="A41" i="37"/>
  <c r="A40" i="37"/>
  <c r="G189" i="36"/>
  <c r="G179" i="36"/>
  <c r="K179" i="36" s="1"/>
  <c r="M179" i="36" s="1"/>
  <c r="G174" i="36"/>
  <c r="G178" i="36" s="1"/>
  <c r="K178" i="36" s="1"/>
  <c r="M178" i="36" s="1"/>
  <c r="G168" i="36"/>
  <c r="K168" i="36" s="1"/>
  <c r="M168" i="36" s="1"/>
  <c r="G164" i="36"/>
  <c r="G165" i="36" s="1"/>
  <c r="K165" i="36" s="1"/>
  <c r="M165" i="36" s="1"/>
  <c r="G173" i="36"/>
  <c r="K173" i="36" s="1"/>
  <c r="M173" i="36" s="1"/>
  <c r="G171" i="36"/>
  <c r="K171" i="36" s="1"/>
  <c r="M171" i="36" s="1"/>
  <c r="G172" i="36"/>
  <c r="K172" i="36" s="1"/>
  <c r="M172" i="36" s="1"/>
  <c r="G160" i="36"/>
  <c r="G169" i="36" s="1"/>
  <c r="A179" i="36"/>
  <c r="A178" i="36"/>
  <c r="A177" i="36"/>
  <c r="A176" i="36"/>
  <c r="A175" i="36"/>
  <c r="A174" i="36"/>
  <c r="A173" i="36"/>
  <c r="A172" i="36"/>
  <c r="A171" i="36"/>
  <c r="A170" i="36"/>
  <c r="A169" i="36"/>
  <c r="A168" i="36"/>
  <c r="A167" i="36"/>
  <c r="A166" i="36"/>
  <c r="A165" i="36"/>
  <c r="A164" i="36"/>
  <c r="A163" i="36"/>
  <c r="A162" i="36"/>
  <c r="A161" i="36"/>
  <c r="A160" i="36"/>
  <c r="A159" i="36"/>
  <c r="G140" i="36"/>
  <c r="G130" i="36"/>
  <c r="K130" i="36" s="1"/>
  <c r="M130" i="36" s="1"/>
  <c r="G125" i="36"/>
  <c r="G129" i="36" s="1"/>
  <c r="K129" i="36" s="1"/>
  <c r="M129" i="36" s="1"/>
  <c r="G124" i="36"/>
  <c r="K124" i="36" s="1"/>
  <c r="M124" i="36" s="1"/>
  <c r="G123" i="36"/>
  <c r="K123" i="36" s="1"/>
  <c r="M123" i="36" s="1"/>
  <c r="G122" i="36"/>
  <c r="K122" i="36" s="1"/>
  <c r="M122" i="36" s="1"/>
  <c r="G119" i="36"/>
  <c r="K119" i="36" s="1"/>
  <c r="M119" i="36" s="1"/>
  <c r="G115" i="36"/>
  <c r="G118" i="36" s="1"/>
  <c r="K118" i="36" s="1"/>
  <c r="M118" i="36" s="1"/>
  <c r="G111" i="36"/>
  <c r="G112" i="36" s="1"/>
  <c r="K112" i="36" s="1"/>
  <c r="M112" i="36" s="1"/>
  <c r="A130" i="36"/>
  <c r="A129" i="36"/>
  <c r="A128" i="36"/>
  <c r="A127" i="36"/>
  <c r="A126" i="36"/>
  <c r="A125" i="36"/>
  <c r="A124" i="36"/>
  <c r="A123" i="36"/>
  <c r="A122" i="36"/>
  <c r="A121" i="36"/>
  <c r="A120" i="36"/>
  <c r="A119" i="36"/>
  <c r="A118" i="36"/>
  <c r="A117" i="36"/>
  <c r="A116" i="36"/>
  <c r="A115" i="36"/>
  <c r="A114" i="36"/>
  <c r="A113" i="36"/>
  <c r="A112" i="36"/>
  <c r="A111" i="36"/>
  <c r="A110" i="36"/>
  <c r="G66" i="36"/>
  <c r="K66" i="36" s="1"/>
  <c r="M66" i="36" s="1"/>
  <c r="G57" i="36"/>
  <c r="K57" i="36" s="1"/>
  <c r="M57" i="36" s="1"/>
  <c r="G58" i="36"/>
  <c r="K58" i="36" s="1"/>
  <c r="M58" i="36" s="1"/>
  <c r="G56" i="36"/>
  <c r="K56" i="36" s="1"/>
  <c r="M56" i="36" s="1"/>
  <c r="G54" i="36"/>
  <c r="K54" i="36" s="1"/>
  <c r="M54" i="36" s="1"/>
  <c r="G49" i="36"/>
  <c r="K49" i="36" s="1"/>
  <c r="M49" i="36" s="1"/>
  <c r="G48" i="36"/>
  <c r="K48" i="36" s="1"/>
  <c r="M48" i="36" s="1"/>
  <c r="G47" i="36"/>
  <c r="K47" i="36" s="1"/>
  <c r="M47" i="36" s="1"/>
  <c r="G67" i="36"/>
  <c r="K67" i="36" s="1"/>
  <c r="M67" i="36" s="1"/>
  <c r="A67" i="36"/>
  <c r="A66" i="36"/>
  <c r="G65" i="36"/>
  <c r="K65" i="36" s="1"/>
  <c r="M65" i="36" s="1"/>
  <c r="A65" i="36"/>
  <c r="G64" i="36"/>
  <c r="K64" i="36" s="1"/>
  <c r="M64" i="36" s="1"/>
  <c r="A64" i="36"/>
  <c r="G63" i="36"/>
  <c r="K63" i="36" s="1"/>
  <c r="M63" i="36" s="1"/>
  <c r="A63" i="36"/>
  <c r="G62" i="36"/>
  <c r="K62" i="36" s="1"/>
  <c r="M62" i="36" s="1"/>
  <c r="A62" i="36"/>
  <c r="A61" i="36"/>
  <c r="G60" i="36"/>
  <c r="K60" i="36" s="1"/>
  <c r="M60" i="36" s="1"/>
  <c r="A60" i="36"/>
  <c r="A59" i="36"/>
  <c r="A58" i="36"/>
  <c r="A57" i="36"/>
  <c r="A56" i="36"/>
  <c r="A55" i="36"/>
  <c r="A54" i="36"/>
  <c r="G53" i="36"/>
  <c r="K53" i="36" s="1"/>
  <c r="M53" i="36" s="1"/>
  <c r="A53" i="36"/>
  <c r="G52" i="36"/>
  <c r="K52" i="36" s="1"/>
  <c r="M52" i="36" s="1"/>
  <c r="A52" i="36"/>
  <c r="G51" i="36"/>
  <c r="K51" i="36" s="1"/>
  <c r="M51" i="36" s="1"/>
  <c r="A51" i="36"/>
  <c r="A50" i="36"/>
  <c r="A49" i="36"/>
  <c r="A48" i="36"/>
  <c r="A47" i="36"/>
  <c r="G46" i="36"/>
  <c r="K46" i="36" s="1"/>
  <c r="M46" i="36" s="1"/>
  <c r="A46" i="36"/>
  <c r="A45" i="36"/>
  <c r="G44" i="36"/>
  <c r="K44" i="36" s="1"/>
  <c r="M44" i="36" s="1"/>
  <c r="A44" i="36"/>
  <c r="G43" i="36"/>
  <c r="K43" i="36" s="1"/>
  <c r="M43" i="36" s="1"/>
  <c r="A43" i="36"/>
  <c r="G42" i="36"/>
  <c r="K42" i="36" s="1"/>
  <c r="M42" i="36" s="1"/>
  <c r="A42" i="36"/>
  <c r="A41" i="36"/>
  <c r="A40" i="36"/>
  <c r="G188" i="35"/>
  <c r="G171" i="35"/>
  <c r="K171" i="35" s="1"/>
  <c r="M171" i="35" s="1"/>
  <c r="G170" i="35"/>
  <c r="K170" i="35" s="1"/>
  <c r="M170" i="35" s="1"/>
  <c r="G159" i="35"/>
  <c r="G162" i="35" s="1"/>
  <c r="K162" i="35" s="1"/>
  <c r="M162" i="35" s="1"/>
  <c r="G178" i="35"/>
  <c r="K178" i="35" s="1"/>
  <c r="M178" i="35" s="1"/>
  <c r="A178" i="35"/>
  <c r="A177" i="35"/>
  <c r="A176" i="35"/>
  <c r="A175" i="35"/>
  <c r="A174" i="35"/>
  <c r="G173" i="35"/>
  <c r="G176" i="35" s="1"/>
  <c r="K176" i="35" s="1"/>
  <c r="M176" i="35" s="1"/>
  <c r="A173" i="35"/>
  <c r="G172" i="35"/>
  <c r="K172" i="35" s="1"/>
  <c r="M172" i="35" s="1"/>
  <c r="A172" i="35"/>
  <c r="A171" i="35"/>
  <c r="A170" i="35"/>
  <c r="A169" i="35"/>
  <c r="A168" i="35"/>
  <c r="G167" i="35"/>
  <c r="K167" i="35" s="1"/>
  <c r="M167" i="35" s="1"/>
  <c r="A167" i="35"/>
  <c r="A166" i="35"/>
  <c r="A165" i="35"/>
  <c r="A164" i="35"/>
  <c r="G163" i="35"/>
  <c r="G164" i="35" s="1"/>
  <c r="K164" i="35" s="1"/>
  <c r="M164" i="35" s="1"/>
  <c r="A163" i="35"/>
  <c r="A162" i="35"/>
  <c r="A161" i="35"/>
  <c r="A160" i="35"/>
  <c r="A159" i="35"/>
  <c r="A158" i="35"/>
  <c r="G139" i="35"/>
  <c r="G122" i="35"/>
  <c r="K122" i="35" s="1"/>
  <c r="M122" i="35" s="1"/>
  <c r="G121" i="35"/>
  <c r="K121" i="35" s="1"/>
  <c r="M121" i="35" s="1"/>
  <c r="G110" i="35"/>
  <c r="G111" i="35" s="1"/>
  <c r="K111" i="35" s="1"/>
  <c r="M111" i="35" s="1"/>
  <c r="G129" i="35"/>
  <c r="K129" i="35" s="1"/>
  <c r="M129" i="35" s="1"/>
  <c r="A129" i="35"/>
  <c r="A128" i="35"/>
  <c r="A127" i="35"/>
  <c r="A126" i="35"/>
  <c r="A125" i="35"/>
  <c r="G124" i="35"/>
  <c r="G128" i="35" s="1"/>
  <c r="K128" i="35" s="1"/>
  <c r="M128" i="35" s="1"/>
  <c r="A124" i="35"/>
  <c r="G123" i="35"/>
  <c r="K123" i="35" s="1"/>
  <c r="M123" i="35" s="1"/>
  <c r="A123" i="35"/>
  <c r="A122" i="35"/>
  <c r="A121" i="35"/>
  <c r="A120" i="35"/>
  <c r="A119" i="35"/>
  <c r="G118" i="35"/>
  <c r="K118" i="35" s="1"/>
  <c r="M118" i="35" s="1"/>
  <c r="A118" i="35"/>
  <c r="A117" i="35"/>
  <c r="A116" i="35"/>
  <c r="A115" i="35"/>
  <c r="G114" i="35"/>
  <c r="G117" i="35" s="1"/>
  <c r="K117" i="35" s="1"/>
  <c r="M117" i="35" s="1"/>
  <c r="A114" i="35"/>
  <c r="A113" i="35"/>
  <c r="A112" i="35"/>
  <c r="A111" i="35"/>
  <c r="A110" i="35"/>
  <c r="A109" i="35"/>
  <c r="G55" i="35"/>
  <c r="K55" i="35" s="1"/>
  <c r="M55" i="35" s="1"/>
  <c r="G56" i="35"/>
  <c r="K56" i="35" s="1"/>
  <c r="M56" i="35" s="1"/>
  <c r="G53" i="35"/>
  <c r="K53" i="35" s="1"/>
  <c r="M53" i="35" s="1"/>
  <c r="G48" i="35"/>
  <c r="K48" i="35" s="1"/>
  <c r="M48" i="35" s="1"/>
  <c r="G47" i="35"/>
  <c r="K47" i="35" s="1"/>
  <c r="M47" i="35" s="1"/>
  <c r="G66" i="35"/>
  <c r="K66" i="35" s="1"/>
  <c r="M66" i="35" s="1"/>
  <c r="A66" i="35"/>
  <c r="G65" i="35"/>
  <c r="K65" i="35" s="1"/>
  <c r="M65" i="35" s="1"/>
  <c r="A65" i="35"/>
  <c r="G64" i="35"/>
  <c r="K64" i="35" s="1"/>
  <c r="M64" i="35" s="1"/>
  <c r="A64" i="35"/>
  <c r="G63" i="35"/>
  <c r="K63" i="35" s="1"/>
  <c r="M63" i="35" s="1"/>
  <c r="A63" i="35"/>
  <c r="G62" i="35"/>
  <c r="K62" i="35" s="1"/>
  <c r="M62" i="35" s="1"/>
  <c r="A62" i="35"/>
  <c r="G61" i="35"/>
  <c r="K61" i="35" s="1"/>
  <c r="M61" i="35" s="1"/>
  <c r="A61" i="35"/>
  <c r="G60" i="35"/>
  <c r="K60" i="35" s="1"/>
  <c r="M60" i="35" s="1"/>
  <c r="A60" i="35"/>
  <c r="A59" i="35"/>
  <c r="G58" i="35"/>
  <c r="K58" i="35" s="1"/>
  <c r="M58" i="35" s="1"/>
  <c r="A58" i="35"/>
  <c r="A57" i="35"/>
  <c r="A56" i="35"/>
  <c r="A55" i="35"/>
  <c r="A54" i="35"/>
  <c r="A53" i="35"/>
  <c r="G52" i="35"/>
  <c r="K52" i="35" s="1"/>
  <c r="M52" i="35" s="1"/>
  <c r="A52" i="35"/>
  <c r="G51" i="35"/>
  <c r="K51" i="35" s="1"/>
  <c r="M51" i="35" s="1"/>
  <c r="A51" i="35"/>
  <c r="G50" i="35"/>
  <c r="K50" i="35" s="1"/>
  <c r="M50" i="35" s="1"/>
  <c r="A50" i="35"/>
  <c r="A49" i="35"/>
  <c r="A48" i="35"/>
  <c r="A47" i="35"/>
  <c r="G46" i="35"/>
  <c r="K46" i="35" s="1"/>
  <c r="M46" i="35" s="1"/>
  <c r="A46" i="35"/>
  <c r="A45" i="35"/>
  <c r="G44" i="35"/>
  <c r="K44" i="35" s="1"/>
  <c r="M44" i="35" s="1"/>
  <c r="A44" i="35"/>
  <c r="G43" i="35"/>
  <c r="K43" i="35" s="1"/>
  <c r="M43" i="35" s="1"/>
  <c r="A43" i="35"/>
  <c r="G42" i="35"/>
  <c r="K42" i="35" s="1"/>
  <c r="M42" i="35" s="1"/>
  <c r="A42" i="35"/>
  <c r="A41" i="35"/>
  <c r="A40" i="35"/>
  <c r="G188" i="34"/>
  <c r="G171" i="34"/>
  <c r="K171" i="34" s="1"/>
  <c r="M171" i="34" s="1"/>
  <c r="G170" i="34"/>
  <c r="K170" i="34" s="1"/>
  <c r="M170" i="34" s="1"/>
  <c r="G167" i="34"/>
  <c r="K167" i="34" s="1"/>
  <c r="M167" i="34" s="1"/>
  <c r="G163" i="34"/>
  <c r="G165" i="34" s="1"/>
  <c r="K165" i="34" s="1"/>
  <c r="M165" i="34" s="1"/>
  <c r="G159" i="34"/>
  <c r="G161" i="34" s="1"/>
  <c r="K161" i="34" s="1"/>
  <c r="M161" i="34" s="1"/>
  <c r="G178" i="34"/>
  <c r="K178" i="34" s="1"/>
  <c r="M178" i="34" s="1"/>
  <c r="A178" i="34"/>
  <c r="A177" i="34"/>
  <c r="A176" i="34"/>
  <c r="A175" i="34"/>
  <c r="A174" i="34"/>
  <c r="G173" i="34"/>
  <c r="G177" i="34" s="1"/>
  <c r="K177" i="34" s="1"/>
  <c r="M177" i="34" s="1"/>
  <c r="A173" i="34"/>
  <c r="G172" i="34"/>
  <c r="K172" i="34" s="1"/>
  <c r="M172" i="34" s="1"/>
  <c r="A172" i="34"/>
  <c r="A171" i="34"/>
  <c r="A170" i="34"/>
  <c r="A169" i="34"/>
  <c r="A168" i="34"/>
  <c r="A167" i="34"/>
  <c r="A166" i="34"/>
  <c r="A165" i="34"/>
  <c r="A164" i="34"/>
  <c r="A163" i="34"/>
  <c r="A162" i="34"/>
  <c r="A161" i="34"/>
  <c r="A160" i="34"/>
  <c r="A159" i="34"/>
  <c r="A158" i="34"/>
  <c r="G139" i="34"/>
  <c r="G122" i="34"/>
  <c r="K122" i="34" s="1"/>
  <c r="M122" i="34" s="1"/>
  <c r="G121" i="34"/>
  <c r="K121" i="34" s="1"/>
  <c r="M121" i="34" s="1"/>
  <c r="G118" i="34"/>
  <c r="K118" i="34" s="1"/>
  <c r="M118" i="34" s="1"/>
  <c r="G114" i="34"/>
  <c r="G116" i="34" s="1"/>
  <c r="K116" i="34" s="1"/>
  <c r="M116" i="34" s="1"/>
  <c r="G110" i="34"/>
  <c r="G119" i="34" s="1"/>
  <c r="G129" i="34"/>
  <c r="K129" i="34" s="1"/>
  <c r="M129" i="34" s="1"/>
  <c r="A129" i="34"/>
  <c r="A128" i="34"/>
  <c r="A127" i="34"/>
  <c r="A126" i="34"/>
  <c r="A125" i="34"/>
  <c r="G124" i="34"/>
  <c r="G127" i="34" s="1"/>
  <c r="K127" i="34" s="1"/>
  <c r="M127" i="34" s="1"/>
  <c r="A124" i="34"/>
  <c r="G123" i="34"/>
  <c r="K123" i="34" s="1"/>
  <c r="M123" i="34" s="1"/>
  <c r="A123" i="34"/>
  <c r="A122" i="34"/>
  <c r="A121" i="34"/>
  <c r="A120" i="34"/>
  <c r="A119" i="34"/>
  <c r="A118" i="34"/>
  <c r="A117" i="34"/>
  <c r="A116" i="34"/>
  <c r="A115" i="34"/>
  <c r="A114" i="34"/>
  <c r="A113" i="34"/>
  <c r="A112" i="34"/>
  <c r="A111" i="34"/>
  <c r="A110" i="34"/>
  <c r="A109" i="34"/>
  <c r="G65" i="34"/>
  <c r="K65" i="34" s="1"/>
  <c r="M65" i="34" s="1"/>
  <c r="G57" i="34"/>
  <c r="K57" i="34" s="1"/>
  <c r="M57" i="34" s="1"/>
  <c r="G56" i="34"/>
  <c r="K56" i="34" s="1"/>
  <c r="M56" i="34" s="1"/>
  <c r="G55" i="34"/>
  <c r="K55" i="34" s="1"/>
  <c r="M55" i="34" s="1"/>
  <c r="G53" i="34"/>
  <c r="K53" i="34" s="1"/>
  <c r="M53" i="34" s="1"/>
  <c r="G47" i="34"/>
  <c r="K47" i="34" s="1"/>
  <c r="M47" i="34" s="1"/>
  <c r="G48" i="34"/>
  <c r="K48" i="34" s="1"/>
  <c r="M48" i="34" s="1"/>
  <c r="G65" i="33"/>
  <c r="K65" i="33" s="1"/>
  <c r="M65" i="33" s="1"/>
  <c r="G64" i="33"/>
  <c r="K64" i="33" s="1"/>
  <c r="M64" i="33" s="1"/>
  <c r="A65" i="33"/>
  <c r="G66" i="34"/>
  <c r="K66" i="34" s="1"/>
  <c r="M66" i="34" s="1"/>
  <c r="A66" i="34"/>
  <c r="A65" i="34"/>
  <c r="G64" i="34"/>
  <c r="K64" i="34" s="1"/>
  <c r="M64" i="34" s="1"/>
  <c r="A64" i="34"/>
  <c r="G63" i="34"/>
  <c r="K63" i="34" s="1"/>
  <c r="M63" i="34" s="1"/>
  <c r="A63" i="34"/>
  <c r="G62" i="34"/>
  <c r="K62" i="34" s="1"/>
  <c r="M62" i="34" s="1"/>
  <c r="A62" i="34"/>
  <c r="G61" i="34"/>
  <c r="K61" i="34" s="1"/>
  <c r="M61" i="34" s="1"/>
  <c r="A61" i="34"/>
  <c r="A60" i="34"/>
  <c r="G59" i="34"/>
  <c r="K59" i="34" s="1"/>
  <c r="M59" i="34" s="1"/>
  <c r="A59" i="34"/>
  <c r="A58" i="34"/>
  <c r="A57" i="34"/>
  <c r="A56" i="34"/>
  <c r="A55" i="34"/>
  <c r="A54" i="34"/>
  <c r="A53" i="34"/>
  <c r="G52" i="34"/>
  <c r="K52" i="34" s="1"/>
  <c r="M52" i="34" s="1"/>
  <c r="A52" i="34"/>
  <c r="G51" i="34"/>
  <c r="K51" i="34" s="1"/>
  <c r="M51" i="34" s="1"/>
  <c r="A51" i="34"/>
  <c r="G50" i="34"/>
  <c r="K50" i="34" s="1"/>
  <c r="M50" i="34" s="1"/>
  <c r="A50" i="34"/>
  <c r="A49" i="34"/>
  <c r="A48" i="34"/>
  <c r="A47" i="34"/>
  <c r="G46" i="34"/>
  <c r="K46" i="34" s="1"/>
  <c r="M46" i="34" s="1"/>
  <c r="A46" i="34"/>
  <c r="A45" i="34"/>
  <c r="G44" i="34"/>
  <c r="K44" i="34" s="1"/>
  <c r="M44" i="34" s="1"/>
  <c r="A44" i="34"/>
  <c r="G43" i="34"/>
  <c r="K43" i="34" s="1"/>
  <c r="M43" i="34" s="1"/>
  <c r="A43" i="34"/>
  <c r="G42" i="34"/>
  <c r="K42" i="34" s="1"/>
  <c r="M42" i="34" s="1"/>
  <c r="A42" i="34"/>
  <c r="A41" i="34"/>
  <c r="A40" i="34"/>
  <c r="G188" i="33"/>
  <c r="G178" i="33"/>
  <c r="K178" i="33" s="1"/>
  <c r="M178" i="33" s="1"/>
  <c r="G173" i="33"/>
  <c r="G174" i="33" s="1"/>
  <c r="K174" i="33" s="1"/>
  <c r="M174" i="33" s="1"/>
  <c r="G167" i="33"/>
  <c r="K167" i="33" s="1"/>
  <c r="M167" i="33" s="1"/>
  <c r="G163" i="33"/>
  <c r="G165" i="33" s="1"/>
  <c r="K165" i="33" s="1"/>
  <c r="M165" i="33" s="1"/>
  <c r="G171" i="33"/>
  <c r="K171" i="33" s="1"/>
  <c r="M171" i="33" s="1"/>
  <c r="G170" i="33"/>
  <c r="K170" i="33" s="1"/>
  <c r="M170" i="33" s="1"/>
  <c r="G159" i="33"/>
  <c r="G168" i="33" s="1"/>
  <c r="A178" i="33"/>
  <c r="A177" i="33"/>
  <c r="A176" i="33"/>
  <c r="A175" i="33"/>
  <c r="A174" i="33"/>
  <c r="A173" i="33"/>
  <c r="G172" i="33"/>
  <c r="K172" i="33" s="1"/>
  <c r="M172" i="33" s="1"/>
  <c r="A172" i="33"/>
  <c r="A171" i="33"/>
  <c r="A170" i="33"/>
  <c r="A169" i="33"/>
  <c r="A168" i="33"/>
  <c r="A167" i="33"/>
  <c r="A166" i="33"/>
  <c r="A165" i="33"/>
  <c r="A164" i="33"/>
  <c r="A163" i="33"/>
  <c r="A162" i="33"/>
  <c r="A161" i="33"/>
  <c r="A160" i="33"/>
  <c r="A159" i="33"/>
  <c r="A158" i="33"/>
  <c r="G139" i="33"/>
  <c r="G129" i="33"/>
  <c r="K129" i="33" s="1"/>
  <c r="M129" i="33" s="1"/>
  <c r="G124" i="33"/>
  <c r="G127" i="33" s="1"/>
  <c r="K127" i="33" s="1"/>
  <c r="M127" i="33" s="1"/>
  <c r="G123" i="33"/>
  <c r="K123" i="33" s="1"/>
  <c r="M123" i="33" s="1"/>
  <c r="G122" i="33"/>
  <c r="K122" i="33" s="1"/>
  <c r="M122" i="33" s="1"/>
  <c r="G121" i="33"/>
  <c r="K121" i="33" s="1"/>
  <c r="M121" i="33" s="1"/>
  <c r="G114" i="33"/>
  <c r="G115" i="33" s="1"/>
  <c r="K115" i="33" s="1"/>
  <c r="M115" i="33" s="1"/>
  <c r="G110" i="33"/>
  <c r="G119" i="33" s="1"/>
  <c r="G118" i="33"/>
  <c r="K118" i="33" s="1"/>
  <c r="M118" i="33" s="1"/>
  <c r="A129" i="33"/>
  <c r="A128" i="33"/>
  <c r="A127" i="33"/>
  <c r="A126" i="33"/>
  <c r="A125" i="33"/>
  <c r="A124" i="33"/>
  <c r="A123" i="33"/>
  <c r="A122" i="33"/>
  <c r="A121" i="33"/>
  <c r="A120" i="33"/>
  <c r="A119" i="33"/>
  <c r="A118" i="33"/>
  <c r="A117" i="33"/>
  <c r="A116" i="33"/>
  <c r="A115" i="33"/>
  <c r="A114" i="33"/>
  <c r="A113" i="33"/>
  <c r="A112" i="33"/>
  <c r="A111" i="33"/>
  <c r="A110" i="33"/>
  <c r="A109" i="33"/>
  <c r="G66" i="33"/>
  <c r="K66" i="33" s="1"/>
  <c r="M66" i="33" s="1"/>
  <c r="G56" i="33"/>
  <c r="K56" i="33" s="1"/>
  <c r="M56" i="33" s="1"/>
  <c r="G55" i="33"/>
  <c r="K55" i="33" s="1"/>
  <c r="M55" i="33" s="1"/>
  <c r="G48" i="33"/>
  <c r="K48" i="33" s="1"/>
  <c r="M48" i="33" s="1"/>
  <c r="G47" i="33"/>
  <c r="K47" i="33" s="1"/>
  <c r="M47" i="33" s="1"/>
  <c r="G53" i="33"/>
  <c r="K53" i="33" s="1"/>
  <c r="M53" i="33" s="1"/>
  <c r="G54" i="3"/>
  <c r="K54" i="3" s="1"/>
  <c r="M54" i="3" s="1"/>
  <c r="A66" i="33"/>
  <c r="A64" i="33"/>
  <c r="G63" i="33"/>
  <c r="K63" i="33" s="1"/>
  <c r="M63" i="33" s="1"/>
  <c r="A63" i="33"/>
  <c r="G62" i="33"/>
  <c r="K62" i="33" s="1"/>
  <c r="M62" i="33" s="1"/>
  <c r="A62" i="33"/>
  <c r="G61" i="33"/>
  <c r="K61" i="33" s="1"/>
  <c r="M61" i="33" s="1"/>
  <c r="A61" i="33"/>
  <c r="G60" i="33"/>
  <c r="K60" i="33" s="1"/>
  <c r="M60" i="33" s="1"/>
  <c r="A60" i="33"/>
  <c r="A59" i="33"/>
  <c r="G58" i="33"/>
  <c r="K58" i="33" s="1"/>
  <c r="M58" i="33" s="1"/>
  <c r="A58" i="33"/>
  <c r="A57" i="33"/>
  <c r="A56" i="33"/>
  <c r="A55" i="33"/>
  <c r="A54" i="33"/>
  <c r="A53" i="33"/>
  <c r="G52" i="33"/>
  <c r="K52" i="33" s="1"/>
  <c r="M52" i="33" s="1"/>
  <c r="A52" i="33"/>
  <c r="G51" i="33"/>
  <c r="K51" i="33" s="1"/>
  <c r="M51" i="33" s="1"/>
  <c r="A51" i="33"/>
  <c r="G50" i="33"/>
  <c r="K50" i="33" s="1"/>
  <c r="M50" i="33" s="1"/>
  <c r="A50" i="33"/>
  <c r="A49" i="33"/>
  <c r="A48" i="33"/>
  <c r="A47" i="33"/>
  <c r="G46" i="33"/>
  <c r="K46" i="33" s="1"/>
  <c r="M46" i="33" s="1"/>
  <c r="A46" i="33"/>
  <c r="A45" i="33"/>
  <c r="G44" i="33"/>
  <c r="K44" i="33" s="1"/>
  <c r="M44" i="33" s="1"/>
  <c r="A44" i="33"/>
  <c r="G43" i="33"/>
  <c r="K43" i="33" s="1"/>
  <c r="M43" i="33" s="1"/>
  <c r="A43" i="33"/>
  <c r="G42" i="33"/>
  <c r="K42" i="33" s="1"/>
  <c r="M42" i="33" s="1"/>
  <c r="A42" i="33"/>
  <c r="A41" i="33"/>
  <c r="A40" i="33"/>
  <c r="G170" i="36" l="1"/>
  <c r="K170" i="36" s="1"/>
  <c r="M170" i="36" s="1"/>
  <c r="L169" i="36"/>
  <c r="M169" i="36" s="1"/>
  <c r="G120" i="34"/>
  <c r="K120" i="34" s="1"/>
  <c r="M120" i="34" s="1"/>
  <c r="L119" i="34"/>
  <c r="M119" i="34" s="1"/>
  <c r="G169" i="33"/>
  <c r="K169" i="33" s="1"/>
  <c r="M169" i="33" s="1"/>
  <c r="L168" i="33"/>
  <c r="M168" i="33" s="1"/>
  <c r="G120" i="33"/>
  <c r="K120" i="33" s="1"/>
  <c r="M120" i="33" s="1"/>
  <c r="L119" i="33"/>
  <c r="M119" i="33" s="1"/>
  <c r="G167" i="38"/>
  <c r="K167" i="38" s="1"/>
  <c r="M167" i="38" s="1"/>
  <c r="G178" i="38"/>
  <c r="K178" i="38" s="1"/>
  <c r="M178" i="38" s="1"/>
  <c r="G176" i="38"/>
  <c r="K176" i="38" s="1"/>
  <c r="M176" i="38" s="1"/>
  <c r="G162" i="38"/>
  <c r="K162" i="38" s="1"/>
  <c r="M162" i="38" s="1"/>
  <c r="G163" i="38"/>
  <c r="K163" i="38" s="1"/>
  <c r="M163" i="38" s="1"/>
  <c r="G169" i="38"/>
  <c r="G175" i="38"/>
  <c r="K175" i="38" s="1"/>
  <c r="M175" i="38" s="1"/>
  <c r="G165" i="38"/>
  <c r="K165" i="38" s="1"/>
  <c r="M165" i="38" s="1"/>
  <c r="G129" i="38"/>
  <c r="K129" i="38" s="1"/>
  <c r="M129" i="38" s="1"/>
  <c r="G118" i="38"/>
  <c r="K118" i="38" s="1"/>
  <c r="M118" i="38" s="1"/>
  <c r="G116" i="38"/>
  <c r="K116" i="38" s="1"/>
  <c r="M116" i="38" s="1"/>
  <c r="G126" i="38"/>
  <c r="K126" i="38" s="1"/>
  <c r="M126" i="38" s="1"/>
  <c r="G113" i="38"/>
  <c r="K113" i="38" s="1"/>
  <c r="M113" i="38" s="1"/>
  <c r="G120" i="38"/>
  <c r="G127" i="38"/>
  <c r="K127" i="38" s="1"/>
  <c r="M127" i="38" s="1"/>
  <c r="G114" i="38"/>
  <c r="K114" i="38" s="1"/>
  <c r="M114" i="38" s="1"/>
  <c r="G164" i="37"/>
  <c r="K164" i="37" s="1"/>
  <c r="M164" i="37" s="1"/>
  <c r="G173" i="37"/>
  <c r="K173" i="37" s="1"/>
  <c r="M173" i="37" s="1"/>
  <c r="G174" i="37"/>
  <c r="K174" i="37" s="1"/>
  <c r="M174" i="37" s="1"/>
  <c r="G176" i="37"/>
  <c r="K176" i="37" s="1"/>
  <c r="M176" i="37" s="1"/>
  <c r="G160" i="37"/>
  <c r="K160" i="37" s="1"/>
  <c r="M160" i="37" s="1"/>
  <c r="G161" i="37"/>
  <c r="K161" i="37" s="1"/>
  <c r="M161" i="37" s="1"/>
  <c r="G167" i="37"/>
  <c r="G163" i="37"/>
  <c r="K163" i="37" s="1"/>
  <c r="M163" i="37" s="1"/>
  <c r="G116" i="37"/>
  <c r="K116" i="37" s="1"/>
  <c r="M116" i="37" s="1"/>
  <c r="G125" i="37"/>
  <c r="K125" i="37" s="1"/>
  <c r="M125" i="37" s="1"/>
  <c r="G126" i="37"/>
  <c r="K126" i="37" s="1"/>
  <c r="M126" i="37" s="1"/>
  <c r="G127" i="37"/>
  <c r="K127" i="37" s="1"/>
  <c r="M127" i="37" s="1"/>
  <c r="G114" i="37"/>
  <c r="K114" i="37" s="1"/>
  <c r="M114" i="37" s="1"/>
  <c r="G111" i="37"/>
  <c r="K111" i="37" s="1"/>
  <c r="M111" i="37" s="1"/>
  <c r="G118" i="37"/>
  <c r="G112" i="37"/>
  <c r="K112" i="37" s="1"/>
  <c r="M112" i="37" s="1"/>
  <c r="G166" i="36"/>
  <c r="K166" i="36" s="1"/>
  <c r="M166" i="36" s="1"/>
  <c r="G167" i="36"/>
  <c r="K167" i="36" s="1"/>
  <c r="M167" i="36" s="1"/>
  <c r="G161" i="36"/>
  <c r="K161" i="36" s="1"/>
  <c r="M161" i="36" s="1"/>
  <c r="G162" i="36"/>
  <c r="K162" i="36" s="1"/>
  <c r="M162" i="36" s="1"/>
  <c r="G163" i="36"/>
  <c r="K163" i="36" s="1"/>
  <c r="M163" i="36" s="1"/>
  <c r="G175" i="36"/>
  <c r="K175" i="36" s="1"/>
  <c r="M175" i="36" s="1"/>
  <c r="G176" i="36"/>
  <c r="K176" i="36" s="1"/>
  <c r="M176" i="36" s="1"/>
  <c r="G177" i="36"/>
  <c r="K177" i="36" s="1"/>
  <c r="M177" i="36" s="1"/>
  <c r="G116" i="36"/>
  <c r="K116" i="36" s="1"/>
  <c r="M116" i="36" s="1"/>
  <c r="G117" i="36"/>
  <c r="K117" i="36" s="1"/>
  <c r="M117" i="36" s="1"/>
  <c r="G114" i="36"/>
  <c r="K114" i="36" s="1"/>
  <c r="M114" i="36" s="1"/>
  <c r="G120" i="36"/>
  <c r="G126" i="36"/>
  <c r="K126" i="36" s="1"/>
  <c r="M126" i="36" s="1"/>
  <c r="G127" i="36"/>
  <c r="K127" i="36" s="1"/>
  <c r="M127" i="36" s="1"/>
  <c r="G113" i="36"/>
  <c r="K113" i="36" s="1"/>
  <c r="M113" i="36" s="1"/>
  <c r="G128" i="36"/>
  <c r="K128" i="36" s="1"/>
  <c r="M128" i="36" s="1"/>
  <c r="G165" i="35"/>
  <c r="K165" i="35" s="1"/>
  <c r="M165" i="35" s="1"/>
  <c r="G166" i="35"/>
  <c r="K166" i="35" s="1"/>
  <c r="M166" i="35" s="1"/>
  <c r="G174" i="35"/>
  <c r="K174" i="35" s="1"/>
  <c r="M174" i="35" s="1"/>
  <c r="G175" i="35"/>
  <c r="K175" i="35" s="1"/>
  <c r="M175" i="35" s="1"/>
  <c r="G177" i="35"/>
  <c r="K177" i="35" s="1"/>
  <c r="M177" i="35" s="1"/>
  <c r="G160" i="35"/>
  <c r="K160" i="35" s="1"/>
  <c r="M160" i="35" s="1"/>
  <c r="G161" i="35"/>
  <c r="K161" i="35" s="1"/>
  <c r="M161" i="35" s="1"/>
  <c r="G168" i="35"/>
  <c r="G115" i="35"/>
  <c r="K115" i="35" s="1"/>
  <c r="M115" i="35" s="1"/>
  <c r="G126" i="35"/>
  <c r="K126" i="35" s="1"/>
  <c r="M126" i="35" s="1"/>
  <c r="G127" i="35"/>
  <c r="K127" i="35" s="1"/>
  <c r="M127" i="35" s="1"/>
  <c r="G112" i="35"/>
  <c r="K112" i="35" s="1"/>
  <c r="M112" i="35" s="1"/>
  <c r="G113" i="35"/>
  <c r="K113" i="35" s="1"/>
  <c r="M113" i="35" s="1"/>
  <c r="G119" i="35"/>
  <c r="G125" i="35"/>
  <c r="K125" i="35" s="1"/>
  <c r="M125" i="35" s="1"/>
  <c r="G116" i="35"/>
  <c r="K116" i="35" s="1"/>
  <c r="M116" i="35" s="1"/>
  <c r="G164" i="34"/>
  <c r="K164" i="34" s="1"/>
  <c r="M164" i="34" s="1"/>
  <c r="G166" i="34"/>
  <c r="K166" i="34" s="1"/>
  <c r="M166" i="34" s="1"/>
  <c r="G162" i="34"/>
  <c r="K162" i="34" s="1"/>
  <c r="M162" i="34" s="1"/>
  <c r="G168" i="34"/>
  <c r="G160" i="34"/>
  <c r="K160" i="34" s="1"/>
  <c r="M160" i="34" s="1"/>
  <c r="G174" i="34"/>
  <c r="K174" i="34" s="1"/>
  <c r="M174" i="34" s="1"/>
  <c r="G175" i="34"/>
  <c r="K175" i="34" s="1"/>
  <c r="M175" i="34" s="1"/>
  <c r="G176" i="34"/>
  <c r="K176" i="34" s="1"/>
  <c r="M176" i="34" s="1"/>
  <c r="G117" i="34"/>
  <c r="K117" i="34" s="1"/>
  <c r="M117" i="34" s="1"/>
  <c r="G115" i="34"/>
  <c r="K115" i="34" s="1"/>
  <c r="M115" i="34" s="1"/>
  <c r="G125" i="34"/>
  <c r="K125" i="34" s="1"/>
  <c r="M125" i="34" s="1"/>
  <c r="G126" i="34"/>
  <c r="K126" i="34" s="1"/>
  <c r="M126" i="34" s="1"/>
  <c r="G128" i="34"/>
  <c r="K128" i="34" s="1"/>
  <c r="M128" i="34" s="1"/>
  <c r="G111" i="34"/>
  <c r="K111" i="34" s="1"/>
  <c r="M111" i="34" s="1"/>
  <c r="G112" i="34"/>
  <c r="K112" i="34" s="1"/>
  <c r="M112" i="34" s="1"/>
  <c r="G113" i="34"/>
  <c r="K113" i="34" s="1"/>
  <c r="M113" i="34" s="1"/>
  <c r="G177" i="33"/>
  <c r="K177" i="33" s="1"/>
  <c r="M177" i="33" s="1"/>
  <c r="G166" i="33"/>
  <c r="K166" i="33" s="1"/>
  <c r="M166" i="33" s="1"/>
  <c r="G160" i="33"/>
  <c r="K160" i="33" s="1"/>
  <c r="M160" i="33" s="1"/>
  <c r="G175" i="33"/>
  <c r="K175" i="33" s="1"/>
  <c r="M175" i="33" s="1"/>
  <c r="G176" i="33"/>
  <c r="K176" i="33" s="1"/>
  <c r="M176" i="33" s="1"/>
  <c r="G164" i="33"/>
  <c r="K164" i="33" s="1"/>
  <c r="M164" i="33" s="1"/>
  <c r="G161" i="33"/>
  <c r="K161" i="33" s="1"/>
  <c r="M161" i="33" s="1"/>
  <c r="G162" i="33"/>
  <c r="K162" i="33" s="1"/>
  <c r="M162" i="33" s="1"/>
  <c r="G125" i="33"/>
  <c r="K125" i="33" s="1"/>
  <c r="M125" i="33" s="1"/>
  <c r="G126" i="33"/>
  <c r="K126" i="33" s="1"/>
  <c r="M126" i="33" s="1"/>
  <c r="G128" i="33"/>
  <c r="K128" i="33" s="1"/>
  <c r="M128" i="33" s="1"/>
  <c r="G111" i="33"/>
  <c r="K111" i="33" s="1"/>
  <c r="M111" i="33" s="1"/>
  <c r="G117" i="33"/>
  <c r="K117" i="33" s="1"/>
  <c r="M117" i="33" s="1"/>
  <c r="G112" i="33"/>
  <c r="K112" i="33" s="1"/>
  <c r="M112" i="33" s="1"/>
  <c r="G113" i="33"/>
  <c r="K113" i="33" s="1"/>
  <c r="M113" i="33" s="1"/>
  <c r="G116" i="33"/>
  <c r="K116" i="33" s="1"/>
  <c r="M116" i="33" s="1"/>
  <c r="G189" i="3"/>
  <c r="L189" i="3" s="1"/>
  <c r="M189" i="3" s="1"/>
  <c r="G173" i="3"/>
  <c r="K173" i="3" s="1"/>
  <c r="M173" i="3" s="1"/>
  <c r="G171" i="3"/>
  <c r="K171" i="3" s="1"/>
  <c r="M171" i="3" s="1"/>
  <c r="G160" i="3"/>
  <c r="G179" i="3"/>
  <c r="K179" i="3" s="1"/>
  <c r="M179" i="3" s="1"/>
  <c r="G174" i="3"/>
  <c r="G172" i="3"/>
  <c r="K172" i="3" s="1"/>
  <c r="M172" i="3" s="1"/>
  <c r="G168" i="3"/>
  <c r="K168" i="3" s="1"/>
  <c r="M168" i="3" s="1"/>
  <c r="G164" i="3"/>
  <c r="A179" i="3"/>
  <c r="A178" i="3"/>
  <c r="A177" i="3"/>
  <c r="A176" i="3"/>
  <c r="A175" i="3"/>
  <c r="A174" i="3"/>
  <c r="A173" i="3"/>
  <c r="A172" i="3"/>
  <c r="A171" i="3"/>
  <c r="A170" i="3"/>
  <c r="A169" i="3"/>
  <c r="A168" i="3"/>
  <c r="A167" i="3"/>
  <c r="A166" i="3"/>
  <c r="A165" i="3"/>
  <c r="A164" i="3"/>
  <c r="A163" i="3"/>
  <c r="A162" i="3"/>
  <c r="A161" i="3"/>
  <c r="A160" i="3"/>
  <c r="A159" i="3"/>
  <c r="G140" i="3"/>
  <c r="L140" i="3" s="1"/>
  <c r="M140" i="3" s="1"/>
  <c r="G130" i="3"/>
  <c r="K130" i="3" s="1"/>
  <c r="M130" i="3" s="1"/>
  <c r="A130" i="3"/>
  <c r="G125" i="3"/>
  <c r="G124" i="3"/>
  <c r="K124" i="3" s="1"/>
  <c r="M124" i="3" s="1"/>
  <c r="G123" i="3"/>
  <c r="K123" i="3" s="1"/>
  <c r="M123" i="3" s="1"/>
  <c r="G122" i="3"/>
  <c r="K122" i="3" s="1"/>
  <c r="M122" i="3" s="1"/>
  <c r="A124" i="3"/>
  <c r="A123" i="3"/>
  <c r="A122" i="3"/>
  <c r="A121" i="3"/>
  <c r="G111" i="3"/>
  <c r="G119" i="3"/>
  <c r="K119" i="3" s="1"/>
  <c r="M119" i="3" s="1"/>
  <c r="A119" i="3"/>
  <c r="A118" i="3"/>
  <c r="A117" i="3"/>
  <c r="A116" i="3"/>
  <c r="G115" i="3"/>
  <c r="G66" i="3"/>
  <c r="K66" i="3" s="1"/>
  <c r="M66" i="3" s="1"/>
  <c r="G67" i="3"/>
  <c r="K67" i="3" s="1"/>
  <c r="M67" i="3" s="1"/>
  <c r="G65" i="3"/>
  <c r="K65" i="3" s="1"/>
  <c r="M65" i="3" s="1"/>
  <c r="G64" i="3"/>
  <c r="K64" i="3" s="1"/>
  <c r="M64" i="3" s="1"/>
  <c r="G63" i="3"/>
  <c r="K63" i="3" s="1"/>
  <c r="M63" i="3" s="1"/>
  <c r="G62" i="3"/>
  <c r="K62" i="3" s="1"/>
  <c r="M62" i="3" s="1"/>
  <c r="G57" i="3"/>
  <c r="K57" i="3" s="1"/>
  <c r="M57" i="3" s="1"/>
  <c r="G58" i="3"/>
  <c r="K58" i="3" s="1"/>
  <c r="M58" i="3" s="1"/>
  <c r="G56" i="3"/>
  <c r="K56" i="3" s="1"/>
  <c r="M56" i="3" s="1"/>
  <c r="G60" i="3"/>
  <c r="K60" i="3" s="1"/>
  <c r="M60" i="3" s="1"/>
  <c r="G53" i="3"/>
  <c r="K53" i="3" s="1"/>
  <c r="M53" i="3" s="1"/>
  <c r="G52" i="3"/>
  <c r="K52" i="3" s="1"/>
  <c r="M52" i="3" s="1"/>
  <c r="G51" i="3"/>
  <c r="K51" i="3" s="1"/>
  <c r="M51" i="3" s="1"/>
  <c r="G49" i="3"/>
  <c r="K49" i="3" s="1"/>
  <c r="M49" i="3" s="1"/>
  <c r="G48" i="3"/>
  <c r="K48" i="3" s="1"/>
  <c r="M48" i="3" s="1"/>
  <c r="A48" i="3"/>
  <c r="G47" i="3"/>
  <c r="K47" i="3" s="1"/>
  <c r="M47" i="3" s="1"/>
  <c r="G46" i="3"/>
  <c r="K46" i="3" s="1"/>
  <c r="M46" i="3" s="1"/>
  <c r="G44" i="3"/>
  <c r="K44" i="3" s="1"/>
  <c r="M44" i="3" s="1"/>
  <c r="G43" i="3"/>
  <c r="K43" i="3" s="1"/>
  <c r="M43" i="3" s="1"/>
  <c r="G42" i="3"/>
  <c r="K42" i="3" s="1"/>
  <c r="M42" i="3" s="1"/>
  <c r="G158" i="38"/>
  <c r="K158" i="38" s="1"/>
  <c r="M158" i="38" s="1"/>
  <c r="G157" i="38"/>
  <c r="K157" i="38" s="1"/>
  <c r="M157" i="38" s="1"/>
  <c r="A180" i="38"/>
  <c r="A158" i="38"/>
  <c r="A157" i="38"/>
  <c r="A156" i="38"/>
  <c r="G155" i="38"/>
  <c r="A155" i="38"/>
  <c r="G154" i="38"/>
  <c r="K154" i="38" s="1"/>
  <c r="M154" i="38" s="1"/>
  <c r="A154" i="38"/>
  <c r="G153" i="38"/>
  <c r="K153" i="38" s="1"/>
  <c r="M153" i="38" s="1"/>
  <c r="A153" i="38"/>
  <c r="G152" i="38"/>
  <c r="K152" i="38" s="1"/>
  <c r="M152" i="38" s="1"/>
  <c r="A152" i="38"/>
  <c r="A151" i="38"/>
  <c r="G150" i="38"/>
  <c r="K150" i="38" s="1"/>
  <c r="M150" i="38" s="1"/>
  <c r="A150" i="38"/>
  <c r="A149" i="38"/>
  <c r="A148" i="38"/>
  <c r="A147" i="38"/>
  <c r="G109" i="38"/>
  <c r="K109" i="38" s="1"/>
  <c r="M109" i="38" s="1"/>
  <c r="G108" i="38"/>
  <c r="K108" i="38" s="1"/>
  <c r="M108" i="38" s="1"/>
  <c r="G102" i="38"/>
  <c r="G103" i="38" s="1"/>
  <c r="K103" i="38" s="1"/>
  <c r="M103" i="38" s="1"/>
  <c r="A131" i="38"/>
  <c r="A109" i="38"/>
  <c r="A108" i="38"/>
  <c r="A107" i="38"/>
  <c r="A106" i="38"/>
  <c r="A105" i="38"/>
  <c r="A104" i="38"/>
  <c r="A103" i="38"/>
  <c r="A102" i="38"/>
  <c r="A101" i="38"/>
  <c r="A100" i="38"/>
  <c r="G86" i="38"/>
  <c r="G82" i="38"/>
  <c r="G78" i="38"/>
  <c r="A68" i="38"/>
  <c r="G39" i="38"/>
  <c r="K39" i="38" s="1"/>
  <c r="M39" i="38" s="1"/>
  <c r="G38" i="38"/>
  <c r="K38" i="38" s="1"/>
  <c r="M38" i="38" s="1"/>
  <c r="G37" i="38"/>
  <c r="K37" i="38" s="1"/>
  <c r="M37" i="38" s="1"/>
  <c r="G36" i="38"/>
  <c r="K36" i="38" s="1"/>
  <c r="M36" i="38" s="1"/>
  <c r="G34" i="38"/>
  <c r="G35" i="38" s="1"/>
  <c r="K35" i="38" s="1"/>
  <c r="M35" i="38" s="1"/>
  <c r="G30" i="38"/>
  <c r="G32" i="38" s="1"/>
  <c r="K32" i="38" s="1"/>
  <c r="M32" i="38" s="1"/>
  <c r="G17" i="38"/>
  <c r="K17" i="38" s="1"/>
  <c r="M17" i="38" s="1"/>
  <c r="G14" i="38"/>
  <c r="G24" i="38" s="1"/>
  <c r="K24" i="38" s="1"/>
  <c r="M24" i="38" s="1"/>
  <c r="G16" i="38"/>
  <c r="K16" i="38" s="1"/>
  <c r="M16" i="38" s="1"/>
  <c r="G15" i="38"/>
  <c r="K15" i="38" s="1"/>
  <c r="A39" i="38"/>
  <c r="A38" i="38"/>
  <c r="A37" i="38"/>
  <c r="A36" i="38"/>
  <c r="A35" i="38"/>
  <c r="A34" i="38"/>
  <c r="A33" i="38"/>
  <c r="A32" i="38"/>
  <c r="A31" i="38"/>
  <c r="A30" i="38"/>
  <c r="G29" i="38"/>
  <c r="K29" i="38" s="1"/>
  <c r="M29" i="38" s="1"/>
  <c r="A29" i="38"/>
  <c r="A28" i="38"/>
  <c r="A27" i="38"/>
  <c r="A26" i="38"/>
  <c r="A25" i="38"/>
  <c r="A24" i="38"/>
  <c r="A23" i="38"/>
  <c r="A22" i="38"/>
  <c r="A21" i="38"/>
  <c r="A20" i="38"/>
  <c r="A19" i="38"/>
  <c r="A18" i="38"/>
  <c r="A17" i="38"/>
  <c r="A16" i="38"/>
  <c r="A15" i="38"/>
  <c r="A14" i="38"/>
  <c r="A13" i="38"/>
  <c r="A12" i="38"/>
  <c r="A11" i="38"/>
  <c r="G156" i="37"/>
  <c r="K156" i="37" s="1"/>
  <c r="M156" i="37" s="1"/>
  <c r="G155" i="37"/>
  <c r="K155" i="37" s="1"/>
  <c r="M155" i="37" s="1"/>
  <c r="A178" i="37"/>
  <c r="A156" i="37"/>
  <c r="A155" i="37"/>
  <c r="A154" i="37"/>
  <c r="G153" i="37"/>
  <c r="A153" i="37"/>
  <c r="G152" i="37"/>
  <c r="K152" i="37" s="1"/>
  <c r="M152" i="37" s="1"/>
  <c r="A152" i="37"/>
  <c r="G151" i="37"/>
  <c r="K151" i="37" s="1"/>
  <c r="M151" i="37" s="1"/>
  <c r="A151" i="37"/>
  <c r="G150" i="37"/>
  <c r="K150" i="37" s="1"/>
  <c r="M150" i="37" s="1"/>
  <c r="A150" i="37"/>
  <c r="A149" i="37"/>
  <c r="G148" i="37"/>
  <c r="K148" i="37" s="1"/>
  <c r="M148" i="37" s="1"/>
  <c r="A148" i="37"/>
  <c r="A147" i="37"/>
  <c r="A146" i="37"/>
  <c r="A145" i="37"/>
  <c r="A142" i="37"/>
  <c r="G107" i="37"/>
  <c r="K107" i="37" s="1"/>
  <c r="M107" i="37" s="1"/>
  <c r="G106" i="37"/>
  <c r="K106" i="37" s="1"/>
  <c r="M106" i="37" s="1"/>
  <c r="G100" i="37"/>
  <c r="G103" i="37" s="1"/>
  <c r="K103" i="37" s="1"/>
  <c r="M103" i="37" s="1"/>
  <c r="A107" i="37"/>
  <c r="A106" i="37"/>
  <c r="A105" i="37"/>
  <c r="A104" i="37"/>
  <c r="A103" i="37"/>
  <c r="A102" i="37"/>
  <c r="A101" i="37"/>
  <c r="A100" i="37"/>
  <c r="A99" i="37"/>
  <c r="A98" i="37"/>
  <c r="G84" i="37"/>
  <c r="G80" i="37"/>
  <c r="G76" i="37"/>
  <c r="A66" i="37"/>
  <c r="G39" i="37"/>
  <c r="K39" i="37" s="1"/>
  <c r="M39" i="37" s="1"/>
  <c r="G38" i="37"/>
  <c r="K38" i="37" s="1"/>
  <c r="M38" i="37" s="1"/>
  <c r="G37" i="37"/>
  <c r="K37" i="37" s="1"/>
  <c r="M37" i="37" s="1"/>
  <c r="G36" i="37"/>
  <c r="K36" i="37" s="1"/>
  <c r="M36" i="37" s="1"/>
  <c r="G34" i="37"/>
  <c r="G30" i="37"/>
  <c r="G17" i="37"/>
  <c r="K17" i="37" s="1"/>
  <c r="M17" i="37" s="1"/>
  <c r="G14" i="37"/>
  <c r="G24" i="37" s="1"/>
  <c r="K24" i="37" s="1"/>
  <c r="M24" i="37" s="1"/>
  <c r="G16" i="37"/>
  <c r="K16" i="37" s="1"/>
  <c r="M16" i="37" s="1"/>
  <c r="G15" i="37"/>
  <c r="K15" i="37" s="1"/>
  <c r="A39" i="37"/>
  <c r="A38" i="37"/>
  <c r="A37" i="37"/>
  <c r="A36" i="37"/>
  <c r="A35" i="37"/>
  <c r="A34" i="37"/>
  <c r="A33" i="37"/>
  <c r="A32" i="37"/>
  <c r="A31" i="37"/>
  <c r="A30" i="37"/>
  <c r="G29" i="37"/>
  <c r="K29" i="37" s="1"/>
  <c r="M29" i="37" s="1"/>
  <c r="A29" i="37"/>
  <c r="A28" i="37"/>
  <c r="A27" i="37"/>
  <c r="A26" i="37"/>
  <c r="A25" i="37"/>
  <c r="A24" i="37"/>
  <c r="A23" i="37"/>
  <c r="A22" i="37"/>
  <c r="A21" i="37"/>
  <c r="A20" i="37"/>
  <c r="A19" i="37"/>
  <c r="A18" i="37"/>
  <c r="A17" i="37"/>
  <c r="A16" i="37"/>
  <c r="A15" i="37"/>
  <c r="A14" i="37"/>
  <c r="A13" i="37"/>
  <c r="A12" i="37"/>
  <c r="A11" i="37"/>
  <c r="G158" i="36"/>
  <c r="K158" i="36" s="1"/>
  <c r="M158" i="36" s="1"/>
  <c r="G157" i="36"/>
  <c r="K157" i="36" s="1"/>
  <c r="M157" i="36" s="1"/>
  <c r="A180" i="36"/>
  <c r="A158" i="36"/>
  <c r="A157" i="36"/>
  <c r="A156" i="36"/>
  <c r="G155" i="36"/>
  <c r="A155" i="36"/>
  <c r="G154" i="36"/>
  <c r="K154" i="36" s="1"/>
  <c r="M154" i="36" s="1"/>
  <c r="A154" i="36"/>
  <c r="G153" i="36"/>
  <c r="K153" i="36" s="1"/>
  <c r="M153" i="36" s="1"/>
  <c r="A153" i="36"/>
  <c r="G152" i="36"/>
  <c r="K152" i="36" s="1"/>
  <c r="M152" i="36" s="1"/>
  <c r="A152" i="36"/>
  <c r="A151" i="36"/>
  <c r="G150" i="36"/>
  <c r="K150" i="36" s="1"/>
  <c r="M150" i="36" s="1"/>
  <c r="A150" i="36"/>
  <c r="A149" i="36"/>
  <c r="A148" i="36"/>
  <c r="A147" i="36"/>
  <c r="G109" i="36"/>
  <c r="K109" i="36" s="1"/>
  <c r="M109" i="36" s="1"/>
  <c r="G108" i="36"/>
  <c r="K108" i="36" s="1"/>
  <c r="M108" i="36" s="1"/>
  <c r="G102" i="36"/>
  <c r="G103" i="36" s="1"/>
  <c r="K103" i="36" s="1"/>
  <c r="M103" i="36" s="1"/>
  <c r="A131" i="36"/>
  <c r="A109" i="36"/>
  <c r="A108" i="36"/>
  <c r="A107" i="36"/>
  <c r="A106" i="36"/>
  <c r="A105" i="36"/>
  <c r="A104" i="36"/>
  <c r="A103" i="36"/>
  <c r="A102" i="36"/>
  <c r="A101" i="36"/>
  <c r="A100" i="36"/>
  <c r="G86" i="36"/>
  <c r="G82" i="36"/>
  <c r="G78" i="36"/>
  <c r="A68" i="36"/>
  <c r="G39" i="36"/>
  <c r="K39" i="36" s="1"/>
  <c r="M39" i="36" s="1"/>
  <c r="G38" i="36"/>
  <c r="K38" i="36" s="1"/>
  <c r="M38" i="36" s="1"/>
  <c r="G37" i="36"/>
  <c r="K37" i="36" s="1"/>
  <c r="M37" i="36" s="1"/>
  <c r="G36" i="36"/>
  <c r="K36" i="36" s="1"/>
  <c r="M36" i="36" s="1"/>
  <c r="G34" i="36"/>
  <c r="G30" i="36"/>
  <c r="G33" i="36" s="1"/>
  <c r="K33" i="36" s="1"/>
  <c r="M33" i="36" s="1"/>
  <c r="G17" i="36"/>
  <c r="K17" i="36" s="1"/>
  <c r="M17" i="36" s="1"/>
  <c r="G14" i="36"/>
  <c r="G21" i="36" s="1"/>
  <c r="K21" i="36" s="1"/>
  <c r="M21" i="36" s="1"/>
  <c r="G16" i="36"/>
  <c r="K16" i="36" s="1"/>
  <c r="M16" i="36" s="1"/>
  <c r="G15" i="36"/>
  <c r="K15" i="36" s="1"/>
  <c r="G34" i="35"/>
  <c r="G30" i="35"/>
  <c r="G34" i="34"/>
  <c r="G30" i="34"/>
  <c r="G34" i="33"/>
  <c r="G30" i="33"/>
  <c r="G34" i="3"/>
  <c r="L34" i="3" s="1"/>
  <c r="M34" i="3" s="1"/>
  <c r="G30" i="3"/>
  <c r="L30" i="3" s="1"/>
  <c r="M30" i="3" s="1"/>
  <c r="A39" i="36"/>
  <c r="A38" i="36"/>
  <c r="A37" i="36"/>
  <c r="A36" i="36"/>
  <c r="A35" i="36"/>
  <c r="A34" i="36"/>
  <c r="A33" i="36"/>
  <c r="A32" i="36"/>
  <c r="A31" i="36"/>
  <c r="A30" i="36"/>
  <c r="G29" i="36"/>
  <c r="K29" i="36" s="1"/>
  <c r="M29" i="36" s="1"/>
  <c r="A29" i="36"/>
  <c r="A28" i="36"/>
  <c r="A27" i="36"/>
  <c r="A26" i="36"/>
  <c r="A25" i="36"/>
  <c r="A24" i="36"/>
  <c r="A23" i="36"/>
  <c r="A22" i="36"/>
  <c r="A21" i="36"/>
  <c r="A20" i="36"/>
  <c r="A19" i="36"/>
  <c r="A18" i="36"/>
  <c r="A17" i="36"/>
  <c r="A16" i="36"/>
  <c r="A15" i="36"/>
  <c r="A14" i="36"/>
  <c r="A13" i="36"/>
  <c r="A12" i="36"/>
  <c r="A11" i="36"/>
  <c r="G157" i="35"/>
  <c r="K157" i="35" s="1"/>
  <c r="M157" i="35" s="1"/>
  <c r="A179" i="35"/>
  <c r="A157" i="35"/>
  <c r="G156" i="35"/>
  <c r="K156" i="35" s="1"/>
  <c r="M156" i="35" s="1"/>
  <c r="A156" i="35"/>
  <c r="A155" i="35"/>
  <c r="G154" i="35"/>
  <c r="A154" i="35"/>
  <c r="G153" i="35"/>
  <c r="K153" i="35" s="1"/>
  <c r="M153" i="35" s="1"/>
  <c r="A153" i="35"/>
  <c r="G152" i="35"/>
  <c r="K152" i="35" s="1"/>
  <c r="M152" i="35" s="1"/>
  <c r="A152" i="35"/>
  <c r="G151" i="35"/>
  <c r="K151" i="35" s="1"/>
  <c r="M151" i="35" s="1"/>
  <c r="A151" i="35"/>
  <c r="A150" i="35"/>
  <c r="G149" i="35"/>
  <c r="K149" i="35" s="1"/>
  <c r="M149" i="35" s="1"/>
  <c r="A149" i="35"/>
  <c r="A148" i="35"/>
  <c r="A147" i="35"/>
  <c r="A146" i="35"/>
  <c r="A130" i="35"/>
  <c r="G108" i="35"/>
  <c r="K108" i="35" s="1"/>
  <c r="M108" i="35" s="1"/>
  <c r="G107" i="35"/>
  <c r="K107" i="35" s="1"/>
  <c r="M107" i="35" s="1"/>
  <c r="G101" i="35"/>
  <c r="G102" i="35" s="1"/>
  <c r="K102" i="35" s="1"/>
  <c r="M102" i="35" s="1"/>
  <c r="A108" i="35"/>
  <c r="A107" i="35"/>
  <c r="A106" i="35"/>
  <c r="A105" i="35"/>
  <c r="A104" i="35"/>
  <c r="A103" i="35"/>
  <c r="A102" i="35"/>
  <c r="A101" i="35"/>
  <c r="A100" i="35"/>
  <c r="A99" i="35"/>
  <c r="G85" i="35"/>
  <c r="G81" i="35"/>
  <c r="G77" i="35"/>
  <c r="A67" i="35"/>
  <c r="G39" i="35"/>
  <c r="K39" i="35" s="1"/>
  <c r="M39" i="35" s="1"/>
  <c r="G38" i="35"/>
  <c r="K38" i="35" s="1"/>
  <c r="M38" i="35" s="1"/>
  <c r="G37" i="35"/>
  <c r="K37" i="35" s="1"/>
  <c r="M37" i="35" s="1"/>
  <c r="G36" i="35"/>
  <c r="K36" i="35" s="1"/>
  <c r="M36" i="35" s="1"/>
  <c r="G17" i="35"/>
  <c r="K17" i="35" s="1"/>
  <c r="M17" i="35" s="1"/>
  <c r="G14" i="35"/>
  <c r="G26" i="35" s="1"/>
  <c r="K26" i="35" s="1"/>
  <c r="M26" i="35" s="1"/>
  <c r="G16" i="35"/>
  <c r="K16" i="35" s="1"/>
  <c r="M16" i="35" s="1"/>
  <c r="G15" i="35"/>
  <c r="K15" i="35" s="1"/>
  <c r="A39" i="35"/>
  <c r="A38" i="35"/>
  <c r="A37" i="35"/>
  <c r="A36" i="35"/>
  <c r="A35" i="35"/>
  <c r="A34" i="35"/>
  <c r="A33" i="35"/>
  <c r="A32" i="35"/>
  <c r="A31" i="35"/>
  <c r="A30" i="35"/>
  <c r="G29" i="35"/>
  <c r="K29" i="35" s="1"/>
  <c r="M29" i="35" s="1"/>
  <c r="A29" i="35"/>
  <c r="A28" i="35"/>
  <c r="A27" i="35"/>
  <c r="A26" i="35"/>
  <c r="A25" i="35"/>
  <c r="A24" i="35"/>
  <c r="A23" i="35"/>
  <c r="A22" i="35"/>
  <c r="A21" i="35"/>
  <c r="A20" i="35"/>
  <c r="A19" i="35"/>
  <c r="A18" i="35"/>
  <c r="A17" i="35"/>
  <c r="A16" i="35"/>
  <c r="A15" i="35"/>
  <c r="A14" i="35"/>
  <c r="A13" i="35"/>
  <c r="A12" i="35"/>
  <c r="A11" i="35"/>
  <c r="A179" i="34"/>
  <c r="G157" i="34"/>
  <c r="K157" i="34" s="1"/>
  <c r="M157" i="34" s="1"/>
  <c r="A157" i="34"/>
  <c r="G156" i="34"/>
  <c r="K156" i="34" s="1"/>
  <c r="M156" i="34" s="1"/>
  <c r="A156" i="34"/>
  <c r="A155" i="34"/>
  <c r="G154" i="34"/>
  <c r="A154" i="34"/>
  <c r="G153" i="34"/>
  <c r="K153" i="34" s="1"/>
  <c r="M153" i="34" s="1"/>
  <c r="A153" i="34"/>
  <c r="G152" i="34"/>
  <c r="K152" i="34" s="1"/>
  <c r="M152" i="34" s="1"/>
  <c r="A152" i="34"/>
  <c r="G151" i="34"/>
  <c r="K151" i="34" s="1"/>
  <c r="M151" i="34" s="1"/>
  <c r="A151" i="34"/>
  <c r="A150" i="34"/>
  <c r="G149" i="34"/>
  <c r="K149" i="34" s="1"/>
  <c r="M149" i="34" s="1"/>
  <c r="A149" i="34"/>
  <c r="A148" i="34"/>
  <c r="A147" i="34"/>
  <c r="A146" i="34"/>
  <c r="A130" i="34"/>
  <c r="G108" i="34"/>
  <c r="K108" i="34" s="1"/>
  <c r="M108" i="34" s="1"/>
  <c r="G107" i="34"/>
  <c r="K107" i="34" s="1"/>
  <c r="M107" i="34" s="1"/>
  <c r="G101" i="34"/>
  <c r="G102" i="34" s="1"/>
  <c r="K102" i="34" s="1"/>
  <c r="M102" i="34" s="1"/>
  <c r="A108" i="34"/>
  <c r="A107" i="34"/>
  <c r="A106" i="34"/>
  <c r="A105" i="34"/>
  <c r="A104" i="34"/>
  <c r="A103" i="34"/>
  <c r="A102" i="34"/>
  <c r="A101" i="34"/>
  <c r="A100" i="34"/>
  <c r="A99" i="34"/>
  <c r="G85" i="34"/>
  <c r="G81" i="34"/>
  <c r="G77" i="34"/>
  <c r="G39" i="3"/>
  <c r="K39" i="3" s="1"/>
  <c r="M39" i="3" s="1"/>
  <c r="G39" i="34"/>
  <c r="K39" i="34" s="1"/>
  <c r="M39" i="34" s="1"/>
  <c r="G38" i="34"/>
  <c r="K38" i="34" s="1"/>
  <c r="M38" i="34" s="1"/>
  <c r="G37" i="34"/>
  <c r="K37" i="34" s="1"/>
  <c r="M37" i="34" s="1"/>
  <c r="G36" i="34"/>
  <c r="K36" i="34" s="1"/>
  <c r="M36" i="34" s="1"/>
  <c r="G17" i="34"/>
  <c r="K17" i="34" s="1"/>
  <c r="M17" i="34" s="1"/>
  <c r="G14" i="34"/>
  <c r="G26" i="34" s="1"/>
  <c r="K26" i="34" s="1"/>
  <c r="M26" i="34" s="1"/>
  <c r="G16" i="34"/>
  <c r="K16" i="34" s="1"/>
  <c r="M16" i="34" s="1"/>
  <c r="G15" i="34"/>
  <c r="K15" i="34" s="1"/>
  <c r="A67" i="34"/>
  <c r="A39" i="34"/>
  <c r="A38" i="34"/>
  <c r="A37" i="34"/>
  <c r="A36" i="34"/>
  <c r="A35" i="34"/>
  <c r="A34" i="34"/>
  <c r="A33" i="34"/>
  <c r="A32" i="34"/>
  <c r="A31" i="34"/>
  <c r="A30" i="34"/>
  <c r="G29" i="34"/>
  <c r="K29" i="34" s="1"/>
  <c r="M29" i="34" s="1"/>
  <c r="A29" i="34"/>
  <c r="A28" i="34"/>
  <c r="A27" i="34"/>
  <c r="A26" i="34"/>
  <c r="A25" i="34"/>
  <c r="A24" i="34"/>
  <c r="A23" i="34"/>
  <c r="A22" i="34"/>
  <c r="A21" i="34"/>
  <c r="A20" i="34"/>
  <c r="A19" i="34"/>
  <c r="A18" i="34"/>
  <c r="A17" i="34"/>
  <c r="A16" i="34"/>
  <c r="A15" i="34"/>
  <c r="A14" i="34"/>
  <c r="A13" i="34"/>
  <c r="A12" i="34"/>
  <c r="A11" i="34"/>
  <c r="M15" i="38" l="1"/>
  <c r="M15" i="37"/>
  <c r="M15" i="36"/>
  <c r="M15" i="35"/>
  <c r="M15" i="34"/>
  <c r="G118" i="3"/>
  <c r="K118" i="3" s="1"/>
  <c r="M118" i="3" s="1"/>
  <c r="L115" i="3"/>
  <c r="M115" i="3" s="1"/>
  <c r="G120" i="3"/>
  <c r="L111" i="3"/>
  <c r="M111" i="3" s="1"/>
  <c r="G126" i="3"/>
  <c r="K126" i="3" s="1"/>
  <c r="M126" i="3" s="1"/>
  <c r="L125" i="3"/>
  <c r="M125" i="3" s="1"/>
  <c r="G177" i="3"/>
  <c r="K177" i="3" s="1"/>
  <c r="M177" i="3" s="1"/>
  <c r="L174" i="3"/>
  <c r="M174" i="3" s="1"/>
  <c r="G161" i="3"/>
  <c r="K161" i="3" s="1"/>
  <c r="M161" i="3" s="1"/>
  <c r="L160" i="3"/>
  <c r="M160" i="3" s="1"/>
  <c r="G166" i="3"/>
  <c r="K166" i="3" s="1"/>
  <c r="M166" i="3" s="1"/>
  <c r="L164" i="3"/>
  <c r="M164" i="3" s="1"/>
  <c r="G156" i="38"/>
  <c r="K156" i="38" s="1"/>
  <c r="M156" i="38" s="1"/>
  <c r="L155" i="38"/>
  <c r="M155" i="38" s="1"/>
  <c r="G121" i="38"/>
  <c r="K121" i="38" s="1"/>
  <c r="M121" i="38" s="1"/>
  <c r="L120" i="38"/>
  <c r="M120" i="38" s="1"/>
  <c r="G170" i="38"/>
  <c r="K170" i="38" s="1"/>
  <c r="M170" i="38" s="1"/>
  <c r="L169" i="38"/>
  <c r="M169" i="38" s="1"/>
  <c r="G168" i="37"/>
  <c r="K168" i="37" s="1"/>
  <c r="M168" i="37" s="1"/>
  <c r="L167" i="37"/>
  <c r="M167" i="37" s="1"/>
  <c r="G154" i="37"/>
  <c r="K154" i="37" s="1"/>
  <c r="M154" i="37" s="1"/>
  <c r="L153" i="37"/>
  <c r="M153" i="37" s="1"/>
  <c r="G119" i="37"/>
  <c r="K119" i="37" s="1"/>
  <c r="M119" i="37" s="1"/>
  <c r="L118" i="37"/>
  <c r="M118" i="37" s="1"/>
  <c r="G121" i="36"/>
  <c r="K121" i="36" s="1"/>
  <c r="M121" i="36" s="1"/>
  <c r="L120" i="36"/>
  <c r="M120" i="36" s="1"/>
  <c r="G156" i="36"/>
  <c r="K156" i="36" s="1"/>
  <c r="M156" i="36" s="1"/>
  <c r="L155" i="36"/>
  <c r="M155" i="36" s="1"/>
  <c r="G155" i="35"/>
  <c r="K155" i="35" s="1"/>
  <c r="M155" i="35" s="1"/>
  <c r="L154" i="35"/>
  <c r="M154" i="35" s="1"/>
  <c r="G169" i="35"/>
  <c r="K169" i="35" s="1"/>
  <c r="M169" i="35" s="1"/>
  <c r="L168" i="35"/>
  <c r="M168" i="35" s="1"/>
  <c r="G120" i="35"/>
  <c r="K120" i="35" s="1"/>
  <c r="M120" i="35" s="1"/>
  <c r="L119" i="35"/>
  <c r="M119" i="35" s="1"/>
  <c r="G155" i="34"/>
  <c r="K155" i="34" s="1"/>
  <c r="M155" i="34" s="1"/>
  <c r="L154" i="34"/>
  <c r="M154" i="34" s="1"/>
  <c r="G169" i="34"/>
  <c r="K169" i="34" s="1"/>
  <c r="M169" i="34" s="1"/>
  <c r="L168" i="34"/>
  <c r="M168" i="34" s="1"/>
  <c r="G121" i="3"/>
  <c r="K121" i="3" s="1"/>
  <c r="M121" i="3" s="1"/>
  <c r="L120" i="3"/>
  <c r="M120" i="3" s="1"/>
  <c r="G165" i="3"/>
  <c r="K165" i="3" s="1"/>
  <c r="M165" i="3" s="1"/>
  <c r="G167" i="3"/>
  <c r="K167" i="3" s="1"/>
  <c r="M167" i="3" s="1"/>
  <c r="G175" i="3"/>
  <c r="K175" i="3" s="1"/>
  <c r="M175" i="3" s="1"/>
  <c r="G178" i="3"/>
  <c r="K178" i="3" s="1"/>
  <c r="M178" i="3" s="1"/>
  <c r="G162" i="3"/>
  <c r="K162" i="3" s="1"/>
  <c r="M162" i="3" s="1"/>
  <c r="G163" i="3"/>
  <c r="K163" i="3" s="1"/>
  <c r="M163" i="3" s="1"/>
  <c r="G176" i="3"/>
  <c r="K176" i="3" s="1"/>
  <c r="M176" i="3" s="1"/>
  <c r="G169" i="3"/>
  <c r="G128" i="3"/>
  <c r="K128" i="3" s="1"/>
  <c r="M128" i="3" s="1"/>
  <c r="G129" i="3"/>
  <c r="K129" i="3" s="1"/>
  <c r="M129" i="3" s="1"/>
  <c r="G127" i="3"/>
  <c r="K127" i="3" s="1"/>
  <c r="M127" i="3" s="1"/>
  <c r="G116" i="3"/>
  <c r="K116" i="3" s="1"/>
  <c r="M116" i="3" s="1"/>
  <c r="G117" i="3"/>
  <c r="K117" i="3" s="1"/>
  <c r="M117" i="3" s="1"/>
  <c r="G106" i="38"/>
  <c r="G105" i="38"/>
  <c r="K105" i="38" s="1"/>
  <c r="M105" i="38" s="1"/>
  <c r="G104" i="38"/>
  <c r="K104" i="38" s="1"/>
  <c r="M104" i="38" s="1"/>
  <c r="G26" i="38"/>
  <c r="K26" i="38" s="1"/>
  <c r="M26" i="38" s="1"/>
  <c r="G27" i="38"/>
  <c r="K27" i="38" s="1"/>
  <c r="M27" i="38" s="1"/>
  <c r="G18" i="38"/>
  <c r="K18" i="38" s="1"/>
  <c r="M18" i="38" s="1"/>
  <c r="G21" i="38"/>
  <c r="K21" i="38" s="1"/>
  <c r="M21" i="38" s="1"/>
  <c r="G23" i="38"/>
  <c r="K23" i="38" s="1"/>
  <c r="M23" i="38" s="1"/>
  <c r="G33" i="38"/>
  <c r="K33" i="38" s="1"/>
  <c r="M33" i="38" s="1"/>
  <c r="G31" i="38"/>
  <c r="K31" i="38" s="1"/>
  <c r="M31" i="38" s="1"/>
  <c r="G22" i="38"/>
  <c r="K22" i="38" s="1"/>
  <c r="M22" i="38" s="1"/>
  <c r="G19" i="38"/>
  <c r="K19" i="38" s="1"/>
  <c r="M19" i="38" s="1"/>
  <c r="G25" i="38"/>
  <c r="K25" i="38" s="1"/>
  <c r="M25" i="38" s="1"/>
  <c r="G20" i="38"/>
  <c r="K20" i="38" s="1"/>
  <c r="M20" i="38" s="1"/>
  <c r="G101" i="37"/>
  <c r="K101" i="37" s="1"/>
  <c r="M101" i="37" s="1"/>
  <c r="G104" i="37"/>
  <c r="G102" i="37"/>
  <c r="K102" i="37" s="1"/>
  <c r="M102" i="37" s="1"/>
  <c r="G18" i="37"/>
  <c r="K18" i="37" s="1"/>
  <c r="M18" i="37" s="1"/>
  <c r="G25" i="37"/>
  <c r="K25" i="37" s="1"/>
  <c r="M25" i="37" s="1"/>
  <c r="G35" i="37"/>
  <c r="K35" i="37" s="1"/>
  <c r="M35" i="37" s="1"/>
  <c r="G19" i="37"/>
  <c r="K19" i="37" s="1"/>
  <c r="M19" i="37" s="1"/>
  <c r="G27" i="37"/>
  <c r="K27" i="37" s="1"/>
  <c r="M27" i="37" s="1"/>
  <c r="G26" i="37"/>
  <c r="K26" i="37" s="1"/>
  <c r="M26" i="37" s="1"/>
  <c r="G21" i="37"/>
  <c r="K21" i="37" s="1"/>
  <c r="M21" i="37" s="1"/>
  <c r="G22" i="37"/>
  <c r="K22" i="37" s="1"/>
  <c r="M22" i="37" s="1"/>
  <c r="G23" i="37"/>
  <c r="K23" i="37" s="1"/>
  <c r="M23" i="37" s="1"/>
  <c r="G20" i="37"/>
  <c r="K20" i="37" s="1"/>
  <c r="M20" i="37" s="1"/>
  <c r="G27" i="36"/>
  <c r="K27" i="36" s="1"/>
  <c r="M27" i="36" s="1"/>
  <c r="G104" i="36"/>
  <c r="K104" i="36" s="1"/>
  <c r="M104" i="36" s="1"/>
  <c r="G105" i="36"/>
  <c r="K105" i="36" s="1"/>
  <c r="M105" i="36" s="1"/>
  <c r="G106" i="36"/>
  <c r="G22" i="36"/>
  <c r="K22" i="36" s="1"/>
  <c r="M22" i="36" s="1"/>
  <c r="G18" i="36"/>
  <c r="K18" i="36" s="1"/>
  <c r="M18" i="36" s="1"/>
  <c r="G24" i="36"/>
  <c r="K24" i="36" s="1"/>
  <c r="M24" i="36" s="1"/>
  <c r="G35" i="36"/>
  <c r="K35" i="36" s="1"/>
  <c r="M35" i="36" s="1"/>
  <c r="G26" i="36"/>
  <c r="K26" i="36" s="1"/>
  <c r="M26" i="36" s="1"/>
  <c r="G23" i="36"/>
  <c r="K23" i="36" s="1"/>
  <c r="M23" i="36" s="1"/>
  <c r="G31" i="36"/>
  <c r="K31" i="36" s="1"/>
  <c r="M31" i="36" s="1"/>
  <c r="G19" i="36"/>
  <c r="K19" i="36" s="1"/>
  <c r="M19" i="36" s="1"/>
  <c r="G25" i="36"/>
  <c r="K25" i="36" s="1"/>
  <c r="M25" i="36" s="1"/>
  <c r="G32" i="36"/>
  <c r="K32" i="36" s="1"/>
  <c r="M32" i="36" s="1"/>
  <c r="G20" i="36"/>
  <c r="K20" i="36" s="1"/>
  <c r="M20" i="36" s="1"/>
  <c r="G103" i="35"/>
  <c r="K103" i="35" s="1"/>
  <c r="M103" i="35" s="1"/>
  <c r="G104" i="35"/>
  <c r="K104" i="35" s="1"/>
  <c r="M104" i="35" s="1"/>
  <c r="G105" i="35"/>
  <c r="G24" i="35"/>
  <c r="K24" i="35" s="1"/>
  <c r="M24" i="35" s="1"/>
  <c r="G35" i="35"/>
  <c r="K35" i="35" s="1"/>
  <c r="M35" i="35" s="1"/>
  <c r="G18" i="35"/>
  <c r="K18" i="35" s="1"/>
  <c r="M18" i="35" s="1"/>
  <c r="G27" i="35"/>
  <c r="K27" i="35" s="1"/>
  <c r="M27" i="35" s="1"/>
  <c r="G21" i="35"/>
  <c r="K21" i="35" s="1"/>
  <c r="M21" i="35" s="1"/>
  <c r="G22" i="35"/>
  <c r="K22" i="35" s="1"/>
  <c r="M22" i="35" s="1"/>
  <c r="G23" i="35"/>
  <c r="K23" i="35" s="1"/>
  <c r="M23" i="35" s="1"/>
  <c r="G19" i="35"/>
  <c r="K19" i="35" s="1"/>
  <c r="M19" i="35" s="1"/>
  <c r="G25" i="35"/>
  <c r="K25" i="35" s="1"/>
  <c r="M25" i="35" s="1"/>
  <c r="G20" i="35"/>
  <c r="K20" i="35" s="1"/>
  <c r="M20" i="35" s="1"/>
  <c r="G103" i="34"/>
  <c r="K103" i="34" s="1"/>
  <c r="M103" i="34" s="1"/>
  <c r="G104" i="34"/>
  <c r="K104" i="34" s="1"/>
  <c r="M104" i="34" s="1"/>
  <c r="G105" i="34"/>
  <c r="G33" i="34"/>
  <c r="K33" i="34" s="1"/>
  <c r="M33" i="34" s="1"/>
  <c r="G35" i="34"/>
  <c r="K35" i="34" s="1"/>
  <c r="M35" i="34" s="1"/>
  <c r="G27" i="34"/>
  <c r="K27" i="34" s="1"/>
  <c r="M27" i="34" s="1"/>
  <c r="G21" i="34"/>
  <c r="K21" i="34" s="1"/>
  <c r="M21" i="34" s="1"/>
  <c r="G22" i="34"/>
  <c r="K22" i="34" s="1"/>
  <c r="M22" i="34" s="1"/>
  <c r="G23" i="34"/>
  <c r="K23" i="34" s="1"/>
  <c r="M23" i="34" s="1"/>
  <c r="G18" i="34"/>
  <c r="K18" i="34" s="1"/>
  <c r="M18" i="34" s="1"/>
  <c r="G24" i="34"/>
  <c r="K24" i="34" s="1"/>
  <c r="M24" i="34" s="1"/>
  <c r="G19" i="34"/>
  <c r="K19" i="34" s="1"/>
  <c r="M19" i="34" s="1"/>
  <c r="G25" i="34"/>
  <c r="K25" i="34" s="1"/>
  <c r="M25" i="34" s="1"/>
  <c r="G20" i="34"/>
  <c r="K20" i="34" s="1"/>
  <c r="M20" i="34" s="1"/>
  <c r="G107" i="38" l="1"/>
  <c r="K107" i="38" s="1"/>
  <c r="M107" i="38" s="1"/>
  <c r="L106" i="38"/>
  <c r="M106" i="38" s="1"/>
  <c r="G105" i="37"/>
  <c r="K105" i="37" s="1"/>
  <c r="M105" i="37" s="1"/>
  <c r="L104" i="37"/>
  <c r="M104" i="37" s="1"/>
  <c r="G107" i="36"/>
  <c r="K107" i="36" s="1"/>
  <c r="M107" i="36" s="1"/>
  <c r="L106" i="36"/>
  <c r="M106" i="36" s="1"/>
  <c r="G106" i="35"/>
  <c r="K106" i="35" s="1"/>
  <c r="M106" i="35" s="1"/>
  <c r="L105" i="35"/>
  <c r="M105" i="35" s="1"/>
  <c r="G106" i="34"/>
  <c r="K106" i="34" s="1"/>
  <c r="M106" i="34" s="1"/>
  <c r="L105" i="34"/>
  <c r="M105" i="34" s="1"/>
  <c r="G170" i="3"/>
  <c r="K170" i="3" s="1"/>
  <c r="M170" i="3" s="1"/>
  <c r="L169" i="3"/>
  <c r="M169" i="3" s="1"/>
  <c r="G33" i="37"/>
  <c r="K33" i="37" s="1"/>
  <c r="M33" i="37" s="1"/>
  <c r="G32" i="37"/>
  <c r="K32" i="37" s="1"/>
  <c r="M32" i="37" s="1"/>
  <c r="G31" i="37"/>
  <c r="K31" i="37" s="1"/>
  <c r="M31" i="37" s="1"/>
  <c r="G33" i="35"/>
  <c r="K33" i="35" s="1"/>
  <c r="M33" i="35" s="1"/>
  <c r="G32" i="35"/>
  <c r="K32" i="35" s="1"/>
  <c r="M32" i="35" s="1"/>
  <c r="G31" i="35"/>
  <c r="K31" i="35" s="1"/>
  <c r="M31" i="35" s="1"/>
  <c r="G32" i="34"/>
  <c r="K32" i="34" s="1"/>
  <c r="M32" i="34" s="1"/>
  <c r="G31" i="34"/>
  <c r="K31" i="34" s="1"/>
  <c r="M31" i="34" s="1"/>
  <c r="G157" i="33" l="1"/>
  <c r="K157" i="33" s="1"/>
  <c r="M157" i="33" s="1"/>
  <c r="G156" i="33"/>
  <c r="K156" i="33" s="1"/>
  <c r="M156" i="33" s="1"/>
  <c r="G154" i="33"/>
  <c r="G155" i="3"/>
  <c r="L155" i="3" s="1"/>
  <c r="M155" i="3" s="1"/>
  <c r="A157" i="33"/>
  <c r="A156" i="33"/>
  <c r="A155" i="33"/>
  <c r="A154" i="33"/>
  <c r="G153" i="33"/>
  <c r="K153" i="33" s="1"/>
  <c r="M153" i="33" s="1"/>
  <c r="A153" i="33"/>
  <c r="G152" i="33"/>
  <c r="K152" i="33" s="1"/>
  <c r="M152" i="33" s="1"/>
  <c r="A152" i="33"/>
  <c r="G151" i="33"/>
  <c r="K151" i="33" s="1"/>
  <c r="M151" i="33" s="1"/>
  <c r="A151" i="33"/>
  <c r="A150" i="33"/>
  <c r="G149" i="33"/>
  <c r="K149" i="33" s="1"/>
  <c r="M149" i="33" s="1"/>
  <c r="A149" i="33"/>
  <c r="A148" i="33"/>
  <c r="A147" i="33"/>
  <c r="G157" i="3"/>
  <c r="K157" i="3" s="1"/>
  <c r="M157" i="3" s="1"/>
  <c r="A157" i="3"/>
  <c r="A158" i="3"/>
  <c r="A156" i="3"/>
  <c r="A155" i="3"/>
  <c r="A154" i="3"/>
  <c r="A153" i="3"/>
  <c r="A152" i="3"/>
  <c r="A151" i="3"/>
  <c r="A179" i="33"/>
  <c r="A146" i="33"/>
  <c r="A130" i="33"/>
  <c r="G108" i="33"/>
  <c r="K108" i="33" s="1"/>
  <c r="M108" i="33" s="1"/>
  <c r="G107" i="33"/>
  <c r="K107" i="33" s="1"/>
  <c r="M107" i="33" s="1"/>
  <c r="G101" i="33"/>
  <c r="G104" i="33" s="1"/>
  <c r="K104" i="33" s="1"/>
  <c r="M104" i="33" s="1"/>
  <c r="A108" i="33"/>
  <c r="A107" i="33"/>
  <c r="A106" i="33"/>
  <c r="A105" i="33"/>
  <c r="A104" i="33"/>
  <c r="A103" i="33"/>
  <c r="A102" i="33"/>
  <c r="A101" i="33"/>
  <c r="A100" i="33"/>
  <c r="A99" i="33"/>
  <c r="G85" i="33"/>
  <c r="G81" i="33"/>
  <c r="G77" i="33"/>
  <c r="A67" i="33"/>
  <c r="G39" i="33"/>
  <c r="K39" i="33" s="1"/>
  <c r="M39" i="33" s="1"/>
  <c r="G38" i="33"/>
  <c r="K38" i="33" s="1"/>
  <c r="M38" i="33" s="1"/>
  <c r="G37" i="33"/>
  <c r="K37" i="33" s="1"/>
  <c r="M37" i="33" s="1"/>
  <c r="G36" i="33"/>
  <c r="K36" i="33" s="1"/>
  <c r="M36" i="33" s="1"/>
  <c r="G17" i="33"/>
  <c r="K17" i="33" s="1"/>
  <c r="M17" i="33" s="1"/>
  <c r="G14" i="33"/>
  <c r="G26" i="33" s="1"/>
  <c r="K26" i="33" s="1"/>
  <c r="M26" i="33" s="1"/>
  <c r="G16" i="33"/>
  <c r="K16" i="33" s="1"/>
  <c r="M16" i="33" s="1"/>
  <c r="G15" i="33"/>
  <c r="K15" i="33" s="1"/>
  <c r="A39" i="33"/>
  <c r="A38" i="33"/>
  <c r="A37" i="33"/>
  <c r="A36" i="33"/>
  <c r="A35" i="33"/>
  <c r="A34" i="33"/>
  <c r="A33" i="33"/>
  <c r="A32" i="33"/>
  <c r="A31" i="33"/>
  <c r="A30" i="33"/>
  <c r="G29" i="33"/>
  <c r="K29" i="33" s="1"/>
  <c r="M29" i="33" s="1"/>
  <c r="A29" i="33"/>
  <c r="A28" i="33"/>
  <c r="A27" i="33"/>
  <c r="A26" i="33"/>
  <c r="A25" i="33"/>
  <c r="A24" i="33"/>
  <c r="A23" i="33"/>
  <c r="A22" i="33"/>
  <c r="A21" i="33"/>
  <c r="A20" i="33"/>
  <c r="A19" i="33"/>
  <c r="A18" i="33"/>
  <c r="A17" i="33"/>
  <c r="A16" i="33"/>
  <c r="A15" i="33"/>
  <c r="A14" i="33"/>
  <c r="A13" i="33"/>
  <c r="A12" i="33"/>
  <c r="A11" i="33"/>
  <c r="M15" i="33" l="1"/>
  <c r="G155" i="33"/>
  <c r="K155" i="33" s="1"/>
  <c r="M155" i="33" s="1"/>
  <c r="L154" i="33"/>
  <c r="M154" i="33" s="1"/>
  <c r="G103" i="33"/>
  <c r="K103" i="33" s="1"/>
  <c r="M103" i="33" s="1"/>
  <c r="G102" i="33"/>
  <c r="K102" i="33" s="1"/>
  <c r="M102" i="33" s="1"/>
  <c r="G105" i="33"/>
  <c r="G25" i="33"/>
  <c r="K25" i="33" s="1"/>
  <c r="M25" i="33" s="1"/>
  <c r="G21" i="33"/>
  <c r="K21" i="33" s="1"/>
  <c r="M21" i="33" s="1"/>
  <c r="G18" i="33"/>
  <c r="K18" i="33" s="1"/>
  <c r="M18" i="33" s="1"/>
  <c r="G27" i="33"/>
  <c r="K27" i="33" s="1"/>
  <c r="M27" i="33" s="1"/>
  <c r="G19" i="33"/>
  <c r="K19" i="33" s="1"/>
  <c r="M19" i="33" s="1"/>
  <c r="G22" i="33"/>
  <c r="K22" i="33" s="1"/>
  <c r="M22" i="33" s="1"/>
  <c r="G33" i="33"/>
  <c r="K33" i="33" s="1"/>
  <c r="M33" i="33" s="1"/>
  <c r="G35" i="33"/>
  <c r="K35" i="33" s="1"/>
  <c r="M35" i="33" s="1"/>
  <c r="G23" i="33"/>
  <c r="K23" i="33" s="1"/>
  <c r="M23" i="33" s="1"/>
  <c r="G24" i="33"/>
  <c r="K24" i="33" s="1"/>
  <c r="M24" i="33" s="1"/>
  <c r="G20" i="33"/>
  <c r="K20" i="33" s="1"/>
  <c r="M20" i="33" s="1"/>
  <c r="G106" i="33" l="1"/>
  <c r="K106" i="33" s="1"/>
  <c r="M106" i="33" s="1"/>
  <c r="L105" i="33"/>
  <c r="M105" i="33" s="1"/>
  <c r="G31" i="33"/>
  <c r="K31" i="33" s="1"/>
  <c r="M31" i="33" s="1"/>
  <c r="G32" i="33"/>
  <c r="K32" i="33" s="1"/>
  <c r="M32" i="33" s="1"/>
  <c r="G109" i="3" l="1"/>
  <c r="K109" i="3" s="1"/>
  <c r="M109" i="3" s="1"/>
  <c r="G108" i="3"/>
  <c r="K108" i="3" s="1"/>
  <c r="M108" i="3" s="1"/>
  <c r="A109" i="3"/>
  <c r="G102" i="3"/>
  <c r="G17" i="3"/>
  <c r="K17" i="3" s="1"/>
  <c r="M17" i="3" s="1"/>
  <c r="G38" i="3"/>
  <c r="K38" i="3" s="1"/>
  <c r="M38" i="3" s="1"/>
  <c r="G29" i="3"/>
  <c r="K29" i="3" s="1"/>
  <c r="M29" i="3" s="1"/>
  <c r="A180" i="3"/>
  <c r="G158" i="3"/>
  <c r="K158" i="3" s="1"/>
  <c r="M158" i="3" s="1"/>
  <c r="G156" i="3"/>
  <c r="K156" i="3" s="1"/>
  <c r="M156" i="3" s="1"/>
  <c r="G150" i="3"/>
  <c r="K150" i="3" s="1"/>
  <c r="M150" i="3" s="1"/>
  <c r="A150" i="3"/>
  <c r="A149" i="3"/>
  <c r="A148" i="3"/>
  <c r="A147" i="3"/>
  <c r="A131" i="3"/>
  <c r="A110" i="3"/>
  <c r="A101" i="3"/>
  <c r="A108" i="3"/>
  <c r="A107" i="3"/>
  <c r="A106" i="3"/>
  <c r="A105" i="3"/>
  <c r="A104" i="3"/>
  <c r="A103" i="3"/>
  <c r="A102" i="3"/>
  <c r="A100" i="3"/>
  <c r="G86" i="3"/>
  <c r="L86" i="3" s="1"/>
  <c r="M86" i="3" s="1"/>
  <c r="G82" i="3"/>
  <c r="L82" i="3" s="1"/>
  <c r="M82" i="3" s="1"/>
  <c r="A68" i="3"/>
  <c r="A40" i="3"/>
  <c r="G37" i="3"/>
  <c r="K37" i="3" s="1"/>
  <c r="M37" i="3" s="1"/>
  <c r="G36" i="3"/>
  <c r="K36" i="3" s="1"/>
  <c r="M36" i="3" s="1"/>
  <c r="A36" i="3"/>
  <c r="A37" i="3"/>
  <c r="A38" i="3"/>
  <c r="A39" i="3"/>
  <c r="G14" i="3"/>
  <c r="G16" i="3"/>
  <c r="K16" i="3" s="1"/>
  <c r="M16" i="3" s="1"/>
  <c r="G15" i="3"/>
  <c r="K15" i="3" s="1"/>
  <c r="A16" i="3"/>
  <c r="A17" i="3"/>
  <c r="G25" i="3" l="1"/>
  <c r="K25" i="3" s="1"/>
  <c r="M25" i="3" s="1"/>
  <c r="L14" i="3"/>
  <c r="G103" i="3"/>
  <c r="K103" i="3" s="1"/>
  <c r="M103" i="3" s="1"/>
  <c r="L102" i="3"/>
  <c r="M102" i="3" s="1"/>
  <c r="M15" i="3"/>
  <c r="G106" i="3"/>
  <c r="L106" i="3" s="1"/>
  <c r="M106" i="3" s="1"/>
  <c r="G105" i="3"/>
  <c r="K105" i="3" s="1"/>
  <c r="M105" i="3" s="1"/>
  <c r="G104" i="3"/>
  <c r="K104" i="3" s="1"/>
  <c r="M104" i="3" s="1"/>
  <c r="G19" i="3"/>
  <c r="K19" i="3" s="1"/>
  <c r="M19" i="3" s="1"/>
  <c r="G35" i="3"/>
  <c r="K35" i="3" s="1"/>
  <c r="M35" i="3" s="1"/>
  <c r="G22" i="3"/>
  <c r="K22" i="3" s="1"/>
  <c r="M22" i="3" s="1"/>
  <c r="G20" i="3"/>
  <c r="K20" i="3" s="1"/>
  <c r="M20" i="3" s="1"/>
  <c r="G21" i="3"/>
  <c r="K21" i="3" s="1"/>
  <c r="M21" i="3" s="1"/>
  <c r="G23" i="3"/>
  <c r="K23" i="3" s="1"/>
  <c r="M23" i="3" s="1"/>
  <c r="G18" i="3"/>
  <c r="K18" i="3" s="1"/>
  <c r="M18" i="3" s="1"/>
  <c r="G24" i="3"/>
  <c r="K24" i="3" s="1"/>
  <c r="M24" i="3" s="1"/>
  <c r="G27" i="3"/>
  <c r="K27" i="3" s="1"/>
  <c r="M27" i="3" s="1"/>
  <c r="G26" i="3"/>
  <c r="K26" i="3" s="1"/>
  <c r="M26" i="3" s="1"/>
  <c r="A13" i="3"/>
  <c r="A12" i="3"/>
  <c r="M14" i="3" l="1"/>
  <c r="G107" i="3"/>
  <c r="K107" i="3" s="1"/>
  <c r="M107" i="3" s="1"/>
  <c r="G31" i="3"/>
  <c r="K31" i="3" s="1"/>
  <c r="M31" i="3" s="1"/>
  <c r="G33" i="3"/>
  <c r="K33" i="3" s="1"/>
  <c r="M33" i="3" s="1"/>
  <c r="G78" i="3" l="1"/>
  <c r="L78" i="3" s="1"/>
  <c r="G144" i="38"/>
  <c r="G145" i="38" s="1"/>
  <c r="K145" i="38" s="1"/>
  <c r="M145" i="38" s="1"/>
  <c r="G136" i="38"/>
  <c r="G139" i="38" s="1"/>
  <c r="K139" i="38" s="1"/>
  <c r="M139" i="38" s="1"/>
  <c r="G142" i="38"/>
  <c r="K142" i="38" s="1"/>
  <c r="M142" i="38" s="1"/>
  <c r="G132" i="38"/>
  <c r="G99" i="38"/>
  <c r="G98" i="38" s="1"/>
  <c r="L98" i="38" s="1"/>
  <c r="M98" i="38" s="1"/>
  <c r="G97" i="38"/>
  <c r="K97" i="38" s="1"/>
  <c r="M97" i="38" s="1"/>
  <c r="G96" i="38"/>
  <c r="G95" i="38" s="1"/>
  <c r="L95" i="38" s="1"/>
  <c r="G195" i="38"/>
  <c r="K195" i="38" s="1"/>
  <c r="M195" i="38" s="1"/>
  <c r="A195" i="38"/>
  <c r="G194" i="38"/>
  <c r="K194" i="38" s="1"/>
  <c r="M194" i="38" s="1"/>
  <c r="A194" i="38"/>
  <c r="A193" i="38"/>
  <c r="G188" i="38"/>
  <c r="K188" i="38" s="1"/>
  <c r="M188" i="38" s="1"/>
  <c r="A188" i="38"/>
  <c r="G187" i="38"/>
  <c r="K187" i="38" s="1"/>
  <c r="M187" i="38" s="1"/>
  <c r="A187" i="38"/>
  <c r="G186" i="38"/>
  <c r="K186" i="38" s="1"/>
  <c r="M186" i="38" s="1"/>
  <c r="A186" i="38"/>
  <c r="A185" i="38"/>
  <c r="G192" i="38"/>
  <c r="K192" i="38" s="1"/>
  <c r="M192" i="38" s="1"/>
  <c r="A192" i="38"/>
  <c r="G191" i="38"/>
  <c r="K191" i="38" s="1"/>
  <c r="M191" i="38" s="1"/>
  <c r="A191" i="38"/>
  <c r="G190" i="38"/>
  <c r="K190" i="38" s="1"/>
  <c r="M190" i="38" s="1"/>
  <c r="A190" i="38"/>
  <c r="A189" i="38"/>
  <c r="G184" i="38"/>
  <c r="K184" i="38" s="1"/>
  <c r="M184" i="38" s="1"/>
  <c r="A184" i="38"/>
  <c r="G183" i="38"/>
  <c r="K183" i="38" s="1"/>
  <c r="M183" i="38" s="1"/>
  <c r="A183" i="38"/>
  <c r="G182" i="38"/>
  <c r="K182" i="38" s="1"/>
  <c r="M182" i="38" s="1"/>
  <c r="A182" i="38"/>
  <c r="A181" i="38"/>
  <c r="A146" i="38"/>
  <c r="A145" i="38"/>
  <c r="A144" i="38"/>
  <c r="A139" i="38"/>
  <c r="A138" i="38"/>
  <c r="A137" i="38"/>
  <c r="G137" i="38"/>
  <c r="K137" i="38" s="1"/>
  <c r="M137" i="38" s="1"/>
  <c r="A136" i="38"/>
  <c r="G143" i="38"/>
  <c r="K143" i="38" s="1"/>
  <c r="M143" i="38" s="1"/>
  <c r="A143" i="38"/>
  <c r="A142" i="38"/>
  <c r="G141" i="38"/>
  <c r="K141" i="38" s="1"/>
  <c r="M141" i="38" s="1"/>
  <c r="A141" i="38"/>
  <c r="A140" i="38"/>
  <c r="A135" i="38"/>
  <c r="A134" i="38"/>
  <c r="A133" i="38"/>
  <c r="A132" i="38"/>
  <c r="A99" i="38"/>
  <c r="A98" i="38"/>
  <c r="A97" i="38"/>
  <c r="A96" i="38"/>
  <c r="A95" i="38"/>
  <c r="G94" i="38"/>
  <c r="K94" i="38" s="1"/>
  <c r="M94" i="38" s="1"/>
  <c r="A94" i="38"/>
  <c r="G93" i="38"/>
  <c r="K93" i="38" s="1"/>
  <c r="M93" i="38" s="1"/>
  <c r="A93" i="38"/>
  <c r="G92" i="38"/>
  <c r="K92" i="38" s="1"/>
  <c r="M92" i="38" s="1"/>
  <c r="A92" i="38"/>
  <c r="G91" i="38"/>
  <c r="K91" i="38" s="1"/>
  <c r="M91" i="38" s="1"/>
  <c r="A91" i="38"/>
  <c r="A90" i="38"/>
  <c r="G89" i="38"/>
  <c r="K89" i="38" s="1"/>
  <c r="M89" i="38" s="1"/>
  <c r="A89" i="38"/>
  <c r="G88" i="38"/>
  <c r="K88" i="38" s="1"/>
  <c r="M88" i="38" s="1"/>
  <c r="A88" i="38"/>
  <c r="G87" i="38"/>
  <c r="K87" i="38" s="1"/>
  <c r="M87" i="38" s="1"/>
  <c r="A87" i="38"/>
  <c r="A86" i="38"/>
  <c r="G85" i="38"/>
  <c r="K85" i="38" s="1"/>
  <c r="M85" i="38" s="1"/>
  <c r="A85" i="38"/>
  <c r="G84" i="38"/>
  <c r="K84" i="38" s="1"/>
  <c r="M84" i="38" s="1"/>
  <c r="A84" i="38"/>
  <c r="G83" i="38"/>
  <c r="K83" i="38" s="1"/>
  <c r="M83" i="38" s="1"/>
  <c r="A83" i="38"/>
  <c r="A82" i="38"/>
  <c r="G81" i="38"/>
  <c r="K81" i="38" s="1"/>
  <c r="M81" i="38" s="1"/>
  <c r="A81" i="38"/>
  <c r="G80" i="38"/>
  <c r="K80" i="38" s="1"/>
  <c r="M80" i="38" s="1"/>
  <c r="A80" i="38"/>
  <c r="G79" i="38"/>
  <c r="K79" i="38" s="1"/>
  <c r="M79" i="38" s="1"/>
  <c r="A79" i="38"/>
  <c r="A78" i="38"/>
  <c r="G77" i="38"/>
  <c r="K77" i="38" s="1"/>
  <c r="M77" i="38" s="1"/>
  <c r="A77" i="38"/>
  <c r="G76" i="38"/>
  <c r="K76" i="38" s="1"/>
  <c r="M76" i="38" s="1"/>
  <c r="A76" i="38"/>
  <c r="G75" i="38"/>
  <c r="K75" i="38" s="1"/>
  <c r="M75" i="38" s="1"/>
  <c r="A75" i="38"/>
  <c r="G74" i="38"/>
  <c r="K74" i="38" s="1"/>
  <c r="M74" i="38" s="1"/>
  <c r="A74" i="38"/>
  <c r="A73" i="38"/>
  <c r="G72" i="38"/>
  <c r="K72" i="38" s="1"/>
  <c r="M72" i="38" s="1"/>
  <c r="A72" i="38"/>
  <c r="G71" i="38"/>
  <c r="K71" i="38" s="1"/>
  <c r="M71" i="38" s="1"/>
  <c r="A71" i="38"/>
  <c r="G70" i="38"/>
  <c r="K70" i="38" s="1"/>
  <c r="A70" i="38"/>
  <c r="A69" i="38"/>
  <c r="G142" i="37"/>
  <c r="G144" i="37" s="1"/>
  <c r="K144" i="37" s="1"/>
  <c r="M144" i="37" s="1"/>
  <c r="G134" i="37"/>
  <c r="G130" i="37"/>
  <c r="G97" i="37"/>
  <c r="G96" i="37" s="1"/>
  <c r="L96" i="37" s="1"/>
  <c r="M96" i="37" s="1"/>
  <c r="G95" i="37"/>
  <c r="K95" i="37" s="1"/>
  <c r="M95" i="37" s="1"/>
  <c r="G94" i="37"/>
  <c r="G93" i="37" s="1"/>
  <c r="L93" i="37" s="1"/>
  <c r="G193" i="37"/>
  <c r="K193" i="37" s="1"/>
  <c r="M193" i="37" s="1"/>
  <c r="A193" i="37"/>
  <c r="G192" i="37"/>
  <c r="K192" i="37" s="1"/>
  <c r="M192" i="37" s="1"/>
  <c r="A192" i="37"/>
  <c r="A191" i="37"/>
  <c r="G186" i="37"/>
  <c r="K186" i="37" s="1"/>
  <c r="M186" i="37" s="1"/>
  <c r="A186" i="37"/>
  <c r="G185" i="37"/>
  <c r="K185" i="37" s="1"/>
  <c r="M185" i="37" s="1"/>
  <c r="A185" i="37"/>
  <c r="G184" i="37"/>
  <c r="K184" i="37" s="1"/>
  <c r="M184" i="37" s="1"/>
  <c r="A184" i="37"/>
  <c r="A183" i="37"/>
  <c r="G190" i="37"/>
  <c r="K190" i="37" s="1"/>
  <c r="M190" i="37" s="1"/>
  <c r="A190" i="37"/>
  <c r="G189" i="37"/>
  <c r="K189" i="37" s="1"/>
  <c r="M189" i="37" s="1"/>
  <c r="A189" i="37"/>
  <c r="G188" i="37"/>
  <c r="K188" i="37" s="1"/>
  <c r="M188" i="37" s="1"/>
  <c r="A188" i="37"/>
  <c r="A187" i="37"/>
  <c r="G182" i="37"/>
  <c r="K182" i="37" s="1"/>
  <c r="M182" i="37" s="1"/>
  <c r="A182" i="37"/>
  <c r="G181" i="37"/>
  <c r="K181" i="37" s="1"/>
  <c r="M181" i="37" s="1"/>
  <c r="A181" i="37"/>
  <c r="G180" i="37"/>
  <c r="K180" i="37" s="1"/>
  <c r="M180" i="37" s="1"/>
  <c r="A180" i="37"/>
  <c r="A179" i="37"/>
  <c r="A144" i="37"/>
  <c r="A143" i="37"/>
  <c r="A137" i="37"/>
  <c r="A136" i="37"/>
  <c r="A135" i="37"/>
  <c r="A134" i="37"/>
  <c r="A141" i="37"/>
  <c r="G140" i="37"/>
  <c r="K140" i="37" s="1"/>
  <c r="M140" i="37" s="1"/>
  <c r="A140" i="37"/>
  <c r="G139" i="37"/>
  <c r="K139" i="37" s="1"/>
  <c r="M139" i="37" s="1"/>
  <c r="A139" i="37"/>
  <c r="G141" i="37"/>
  <c r="K141" i="37" s="1"/>
  <c r="M141" i="37" s="1"/>
  <c r="A138" i="37"/>
  <c r="A133" i="37"/>
  <c r="A132" i="37"/>
  <c r="A131" i="37"/>
  <c r="A130" i="37"/>
  <c r="A97" i="37"/>
  <c r="A96" i="37"/>
  <c r="A95" i="37"/>
  <c r="A94" i="37"/>
  <c r="A93" i="37"/>
  <c r="G92" i="37"/>
  <c r="K92" i="37" s="1"/>
  <c r="M92" i="37" s="1"/>
  <c r="A92" i="37"/>
  <c r="G91" i="37"/>
  <c r="K91" i="37" s="1"/>
  <c r="M91" i="37" s="1"/>
  <c r="A91" i="37"/>
  <c r="G90" i="37"/>
  <c r="K90" i="37" s="1"/>
  <c r="M90" i="37" s="1"/>
  <c r="A90" i="37"/>
  <c r="G89" i="37"/>
  <c r="K89" i="37" s="1"/>
  <c r="M89" i="37" s="1"/>
  <c r="A89" i="37"/>
  <c r="A88" i="37"/>
  <c r="G87" i="37"/>
  <c r="K87" i="37" s="1"/>
  <c r="M87" i="37" s="1"/>
  <c r="A87" i="37"/>
  <c r="G86" i="37"/>
  <c r="K86" i="37" s="1"/>
  <c r="M86" i="37" s="1"/>
  <c r="A86" i="37"/>
  <c r="G85" i="37"/>
  <c r="K85" i="37" s="1"/>
  <c r="M85" i="37" s="1"/>
  <c r="A85" i="37"/>
  <c r="A84" i="37"/>
  <c r="G83" i="37"/>
  <c r="K83" i="37" s="1"/>
  <c r="M83" i="37" s="1"/>
  <c r="A83" i="37"/>
  <c r="G82" i="37"/>
  <c r="K82" i="37" s="1"/>
  <c r="M82" i="37" s="1"/>
  <c r="A82" i="37"/>
  <c r="G81" i="37"/>
  <c r="K81" i="37" s="1"/>
  <c r="M81" i="37" s="1"/>
  <c r="A81" i="37"/>
  <c r="A80" i="37"/>
  <c r="G79" i="37"/>
  <c r="K79" i="37" s="1"/>
  <c r="M79" i="37" s="1"/>
  <c r="A79" i="37"/>
  <c r="G78" i="37"/>
  <c r="K78" i="37" s="1"/>
  <c r="M78" i="37" s="1"/>
  <c r="A78" i="37"/>
  <c r="G77" i="37"/>
  <c r="K77" i="37" s="1"/>
  <c r="M77" i="37" s="1"/>
  <c r="A77" i="37"/>
  <c r="A76" i="37"/>
  <c r="G75" i="37"/>
  <c r="K75" i="37" s="1"/>
  <c r="M75" i="37" s="1"/>
  <c r="A75" i="37"/>
  <c r="G74" i="37"/>
  <c r="K74" i="37" s="1"/>
  <c r="M74" i="37" s="1"/>
  <c r="A74" i="37"/>
  <c r="G73" i="37"/>
  <c r="K73" i="37" s="1"/>
  <c r="M73" i="37" s="1"/>
  <c r="A73" i="37"/>
  <c r="G72" i="37"/>
  <c r="K72" i="37" s="1"/>
  <c r="M72" i="37" s="1"/>
  <c r="A72" i="37"/>
  <c r="A71" i="37"/>
  <c r="G70" i="37"/>
  <c r="K70" i="37" s="1"/>
  <c r="M70" i="37" s="1"/>
  <c r="A70" i="37"/>
  <c r="G69" i="37"/>
  <c r="K69" i="37" s="1"/>
  <c r="M69" i="37" s="1"/>
  <c r="A69" i="37"/>
  <c r="G68" i="37"/>
  <c r="K68" i="37" s="1"/>
  <c r="A68" i="37"/>
  <c r="A67" i="37"/>
  <c r="G144" i="36"/>
  <c r="G146" i="36" s="1"/>
  <c r="K146" i="36" s="1"/>
  <c r="M146" i="36" s="1"/>
  <c r="G136" i="36"/>
  <c r="G143" i="36"/>
  <c r="K143" i="36" s="1"/>
  <c r="M143" i="36" s="1"/>
  <c r="G132" i="36"/>
  <c r="G133" i="36" s="1"/>
  <c r="K133" i="36" s="1"/>
  <c r="M133" i="36" s="1"/>
  <c r="G97" i="36"/>
  <c r="K97" i="36" s="1"/>
  <c r="M97" i="36" s="1"/>
  <c r="G96" i="36"/>
  <c r="G95" i="36" s="1"/>
  <c r="L95" i="36" s="1"/>
  <c r="G195" i="36"/>
  <c r="K195" i="36" s="1"/>
  <c r="M195" i="36" s="1"/>
  <c r="A195" i="36"/>
  <c r="G194" i="36"/>
  <c r="K194" i="36" s="1"/>
  <c r="M194" i="36" s="1"/>
  <c r="A194" i="36"/>
  <c r="A193" i="36"/>
  <c r="G188" i="36"/>
  <c r="K188" i="36" s="1"/>
  <c r="M188" i="36" s="1"/>
  <c r="A188" i="36"/>
  <c r="G187" i="36"/>
  <c r="K187" i="36" s="1"/>
  <c r="M187" i="36" s="1"/>
  <c r="A187" i="36"/>
  <c r="G186" i="36"/>
  <c r="K186" i="36" s="1"/>
  <c r="M186" i="36" s="1"/>
  <c r="A186" i="36"/>
  <c r="A185" i="36"/>
  <c r="G192" i="36"/>
  <c r="K192" i="36" s="1"/>
  <c r="M192" i="36" s="1"/>
  <c r="A192" i="36"/>
  <c r="G191" i="36"/>
  <c r="K191" i="36" s="1"/>
  <c r="M191" i="36" s="1"/>
  <c r="A191" i="36"/>
  <c r="G190" i="36"/>
  <c r="K190" i="36" s="1"/>
  <c r="M190" i="36" s="1"/>
  <c r="A190" i="36"/>
  <c r="A189" i="36"/>
  <c r="G184" i="36"/>
  <c r="K184" i="36" s="1"/>
  <c r="M184" i="36" s="1"/>
  <c r="A184" i="36"/>
  <c r="G183" i="36"/>
  <c r="K183" i="36" s="1"/>
  <c r="M183" i="36" s="1"/>
  <c r="A183" i="36"/>
  <c r="G182" i="36"/>
  <c r="K182" i="36" s="1"/>
  <c r="M182" i="36" s="1"/>
  <c r="A182" i="36"/>
  <c r="A181" i="36"/>
  <c r="A146" i="36"/>
  <c r="A145" i="36"/>
  <c r="A144" i="36"/>
  <c r="A139" i="36"/>
  <c r="A138" i="36"/>
  <c r="A137" i="36"/>
  <c r="A136" i="36"/>
  <c r="A143" i="36"/>
  <c r="A142" i="36"/>
  <c r="G141" i="36"/>
  <c r="K141" i="36" s="1"/>
  <c r="M141" i="36" s="1"/>
  <c r="A141" i="36"/>
  <c r="A140" i="36"/>
  <c r="A135" i="36"/>
  <c r="A134" i="36"/>
  <c r="A133" i="36"/>
  <c r="A132" i="36"/>
  <c r="G99" i="36"/>
  <c r="G98" i="36" s="1"/>
  <c r="L98" i="36" s="1"/>
  <c r="M98" i="36" s="1"/>
  <c r="A99" i="36"/>
  <c r="A98" i="36"/>
  <c r="A97" i="36"/>
  <c r="A96" i="36"/>
  <c r="A95" i="36"/>
  <c r="G94" i="36"/>
  <c r="K94" i="36" s="1"/>
  <c r="M94" i="36" s="1"/>
  <c r="A94" i="36"/>
  <c r="G93" i="36"/>
  <c r="K93" i="36" s="1"/>
  <c r="M93" i="36" s="1"/>
  <c r="A93" i="36"/>
  <c r="G92" i="36"/>
  <c r="K92" i="36" s="1"/>
  <c r="M92" i="36" s="1"/>
  <c r="A92" i="36"/>
  <c r="G91" i="36"/>
  <c r="K91" i="36" s="1"/>
  <c r="M91" i="36" s="1"/>
  <c r="A91" i="36"/>
  <c r="A90" i="36"/>
  <c r="G89" i="36"/>
  <c r="K89" i="36" s="1"/>
  <c r="M89" i="36" s="1"/>
  <c r="A89" i="36"/>
  <c r="G88" i="36"/>
  <c r="K88" i="36" s="1"/>
  <c r="M88" i="36" s="1"/>
  <c r="A88" i="36"/>
  <c r="G87" i="36"/>
  <c r="K87" i="36" s="1"/>
  <c r="M87" i="36" s="1"/>
  <c r="A87" i="36"/>
  <c r="A86" i="36"/>
  <c r="G85" i="36"/>
  <c r="K85" i="36" s="1"/>
  <c r="M85" i="36" s="1"/>
  <c r="A85" i="36"/>
  <c r="G84" i="36"/>
  <c r="K84" i="36" s="1"/>
  <c r="M84" i="36" s="1"/>
  <c r="A84" i="36"/>
  <c r="G83" i="36"/>
  <c r="K83" i="36" s="1"/>
  <c r="M83" i="36" s="1"/>
  <c r="A83" i="36"/>
  <c r="A82" i="36"/>
  <c r="G81" i="36"/>
  <c r="K81" i="36" s="1"/>
  <c r="M81" i="36" s="1"/>
  <c r="A81" i="36"/>
  <c r="G80" i="36"/>
  <c r="K80" i="36" s="1"/>
  <c r="M80" i="36" s="1"/>
  <c r="A80" i="36"/>
  <c r="G79" i="36"/>
  <c r="K79" i="36" s="1"/>
  <c r="M79" i="36" s="1"/>
  <c r="A79" i="36"/>
  <c r="A78" i="36"/>
  <c r="G77" i="36"/>
  <c r="K77" i="36" s="1"/>
  <c r="M77" i="36" s="1"/>
  <c r="A77" i="36"/>
  <c r="G76" i="36"/>
  <c r="K76" i="36" s="1"/>
  <c r="M76" i="36" s="1"/>
  <c r="A76" i="36"/>
  <c r="G75" i="36"/>
  <c r="K75" i="36" s="1"/>
  <c r="M75" i="36" s="1"/>
  <c r="A75" i="36"/>
  <c r="G74" i="36"/>
  <c r="K74" i="36" s="1"/>
  <c r="M74" i="36" s="1"/>
  <c r="A74" i="36"/>
  <c r="A73" i="36"/>
  <c r="G72" i="36"/>
  <c r="K72" i="36" s="1"/>
  <c r="M72" i="36" s="1"/>
  <c r="A72" i="36"/>
  <c r="G71" i="36"/>
  <c r="K71" i="36" s="1"/>
  <c r="M71" i="36" s="1"/>
  <c r="A71" i="36"/>
  <c r="G70" i="36"/>
  <c r="K70" i="36" s="1"/>
  <c r="A70" i="36"/>
  <c r="A69" i="36"/>
  <c r="G143" i="35"/>
  <c r="G144" i="35" s="1"/>
  <c r="K144" i="35" s="1"/>
  <c r="M144" i="35" s="1"/>
  <c r="G140" i="35"/>
  <c r="K140" i="35" s="1"/>
  <c r="M140" i="35" s="1"/>
  <c r="G135" i="35"/>
  <c r="G138" i="35" s="1"/>
  <c r="K138" i="35" s="1"/>
  <c r="M138" i="35" s="1"/>
  <c r="G131" i="35"/>
  <c r="G96" i="35"/>
  <c r="K96" i="35" s="1"/>
  <c r="M96" i="35" s="1"/>
  <c r="G95" i="35"/>
  <c r="G94" i="35" s="1"/>
  <c r="L94" i="35" s="1"/>
  <c r="G194" i="35"/>
  <c r="K194" i="35" s="1"/>
  <c r="M194" i="35" s="1"/>
  <c r="A194" i="35"/>
  <c r="G193" i="35"/>
  <c r="K193" i="35" s="1"/>
  <c r="M193" i="35" s="1"/>
  <c r="A193" i="35"/>
  <c r="A192" i="35"/>
  <c r="G187" i="35"/>
  <c r="K187" i="35" s="1"/>
  <c r="M187" i="35" s="1"/>
  <c r="A187" i="35"/>
  <c r="G186" i="35"/>
  <c r="K186" i="35" s="1"/>
  <c r="M186" i="35" s="1"/>
  <c r="A186" i="35"/>
  <c r="G185" i="35"/>
  <c r="K185" i="35" s="1"/>
  <c r="M185" i="35" s="1"/>
  <c r="A185" i="35"/>
  <c r="A184" i="35"/>
  <c r="G191" i="35"/>
  <c r="K191" i="35" s="1"/>
  <c r="M191" i="35" s="1"/>
  <c r="A191" i="35"/>
  <c r="G190" i="35"/>
  <c r="K190" i="35" s="1"/>
  <c r="M190" i="35" s="1"/>
  <c r="A190" i="35"/>
  <c r="G189" i="35"/>
  <c r="K189" i="35" s="1"/>
  <c r="M189" i="35" s="1"/>
  <c r="A189" i="35"/>
  <c r="A188" i="35"/>
  <c r="G183" i="35"/>
  <c r="K183" i="35" s="1"/>
  <c r="M183" i="35" s="1"/>
  <c r="A183" i="35"/>
  <c r="G182" i="35"/>
  <c r="K182" i="35" s="1"/>
  <c r="M182" i="35" s="1"/>
  <c r="A182" i="35"/>
  <c r="G181" i="35"/>
  <c r="K181" i="35" s="1"/>
  <c r="M181" i="35" s="1"/>
  <c r="A181" i="35"/>
  <c r="A180" i="35"/>
  <c r="A145" i="35"/>
  <c r="A144" i="35"/>
  <c r="G145" i="35"/>
  <c r="K145" i="35" s="1"/>
  <c r="M145" i="35" s="1"/>
  <c r="A143" i="35"/>
  <c r="A138" i="35"/>
  <c r="A137" i="35"/>
  <c r="A136" i="35"/>
  <c r="A135" i="35"/>
  <c r="A142" i="35"/>
  <c r="A141" i="35"/>
  <c r="A140" i="35"/>
  <c r="A139" i="35"/>
  <c r="A134" i="35"/>
  <c r="A133" i="35"/>
  <c r="A132" i="35"/>
  <c r="A131" i="35"/>
  <c r="A98" i="35"/>
  <c r="G97" i="35"/>
  <c r="L97" i="35" s="1"/>
  <c r="M97" i="35" s="1"/>
  <c r="A97" i="35"/>
  <c r="A96" i="35"/>
  <c r="A95" i="35"/>
  <c r="A94" i="35"/>
  <c r="G93" i="35"/>
  <c r="K93" i="35" s="1"/>
  <c r="M93" i="35" s="1"/>
  <c r="A93" i="35"/>
  <c r="G92" i="35"/>
  <c r="K92" i="35" s="1"/>
  <c r="M92" i="35" s="1"/>
  <c r="A92" i="35"/>
  <c r="G91" i="35"/>
  <c r="K91" i="35" s="1"/>
  <c r="M91" i="35" s="1"/>
  <c r="A91" i="35"/>
  <c r="G90" i="35"/>
  <c r="K90" i="35" s="1"/>
  <c r="M90" i="35" s="1"/>
  <c r="A90" i="35"/>
  <c r="A89" i="35"/>
  <c r="G88" i="35"/>
  <c r="K88" i="35" s="1"/>
  <c r="M88" i="35" s="1"/>
  <c r="A88" i="35"/>
  <c r="G87" i="35"/>
  <c r="K87" i="35" s="1"/>
  <c r="M87" i="35" s="1"/>
  <c r="A87" i="35"/>
  <c r="G86" i="35"/>
  <c r="K86" i="35" s="1"/>
  <c r="M86" i="35" s="1"/>
  <c r="A86" i="35"/>
  <c r="A85" i="35"/>
  <c r="G84" i="35"/>
  <c r="K84" i="35" s="1"/>
  <c r="M84" i="35" s="1"/>
  <c r="A84" i="35"/>
  <c r="G83" i="35"/>
  <c r="K83" i="35" s="1"/>
  <c r="M83" i="35" s="1"/>
  <c r="A83" i="35"/>
  <c r="G82" i="35"/>
  <c r="K82" i="35" s="1"/>
  <c r="M82" i="35" s="1"/>
  <c r="A82" i="35"/>
  <c r="A81" i="35"/>
  <c r="G80" i="35"/>
  <c r="K80" i="35" s="1"/>
  <c r="M80" i="35" s="1"/>
  <c r="A80" i="35"/>
  <c r="G79" i="35"/>
  <c r="K79" i="35" s="1"/>
  <c r="M79" i="35" s="1"/>
  <c r="A79" i="35"/>
  <c r="G78" i="35"/>
  <c r="K78" i="35" s="1"/>
  <c r="M78" i="35" s="1"/>
  <c r="A78" i="35"/>
  <c r="A77" i="35"/>
  <c r="G76" i="35"/>
  <c r="K76" i="35" s="1"/>
  <c r="M76" i="35" s="1"/>
  <c r="A76" i="35"/>
  <c r="G75" i="35"/>
  <c r="K75" i="35" s="1"/>
  <c r="M75" i="35" s="1"/>
  <c r="A75" i="35"/>
  <c r="G74" i="35"/>
  <c r="K74" i="35" s="1"/>
  <c r="M74" i="35" s="1"/>
  <c r="A74" i="35"/>
  <c r="G73" i="35"/>
  <c r="K73" i="35" s="1"/>
  <c r="M73" i="35" s="1"/>
  <c r="A73" i="35"/>
  <c r="A72" i="35"/>
  <c r="G71" i="35"/>
  <c r="K71" i="35" s="1"/>
  <c r="M71" i="35" s="1"/>
  <c r="A71" i="35"/>
  <c r="G70" i="35"/>
  <c r="K70" i="35" s="1"/>
  <c r="M70" i="35" s="1"/>
  <c r="A70" i="35"/>
  <c r="G69" i="35"/>
  <c r="K69" i="35" s="1"/>
  <c r="A69" i="35"/>
  <c r="A68" i="35"/>
  <c r="G143" i="34"/>
  <c r="G144" i="34" s="1"/>
  <c r="K144" i="34" s="1"/>
  <c r="M144" i="34" s="1"/>
  <c r="G135" i="34"/>
  <c r="G136" i="34" s="1"/>
  <c r="K136" i="34" s="1"/>
  <c r="M136" i="34" s="1"/>
  <c r="G140" i="34"/>
  <c r="K140" i="34" s="1"/>
  <c r="M140" i="34" s="1"/>
  <c r="G131" i="34"/>
  <c r="G98" i="34"/>
  <c r="G97" i="34" s="1"/>
  <c r="L97" i="34" s="1"/>
  <c r="M97" i="34" s="1"/>
  <c r="G96" i="34"/>
  <c r="K96" i="34" s="1"/>
  <c r="M96" i="34" s="1"/>
  <c r="G95" i="34"/>
  <c r="G194" i="34"/>
  <c r="K194" i="34" s="1"/>
  <c r="M194" i="34" s="1"/>
  <c r="A194" i="34"/>
  <c r="G193" i="34"/>
  <c r="K193" i="34" s="1"/>
  <c r="M193" i="34" s="1"/>
  <c r="A193" i="34"/>
  <c r="A192" i="34"/>
  <c r="G187" i="34"/>
  <c r="K187" i="34" s="1"/>
  <c r="M187" i="34" s="1"/>
  <c r="A187" i="34"/>
  <c r="G186" i="34"/>
  <c r="K186" i="34" s="1"/>
  <c r="M186" i="34" s="1"/>
  <c r="A186" i="34"/>
  <c r="G185" i="34"/>
  <c r="K185" i="34" s="1"/>
  <c r="M185" i="34" s="1"/>
  <c r="A185" i="34"/>
  <c r="A184" i="34"/>
  <c r="G191" i="34"/>
  <c r="K191" i="34" s="1"/>
  <c r="M191" i="34" s="1"/>
  <c r="A191" i="34"/>
  <c r="G190" i="34"/>
  <c r="K190" i="34" s="1"/>
  <c r="M190" i="34" s="1"/>
  <c r="A190" i="34"/>
  <c r="G189" i="34"/>
  <c r="K189" i="34" s="1"/>
  <c r="M189" i="34" s="1"/>
  <c r="A189" i="34"/>
  <c r="A188" i="34"/>
  <c r="G183" i="34"/>
  <c r="K183" i="34" s="1"/>
  <c r="M183" i="34" s="1"/>
  <c r="A183" i="34"/>
  <c r="G182" i="34"/>
  <c r="K182" i="34" s="1"/>
  <c r="M182" i="34" s="1"/>
  <c r="A182" i="34"/>
  <c r="G181" i="34"/>
  <c r="K181" i="34" s="1"/>
  <c r="M181" i="34" s="1"/>
  <c r="A181" i="34"/>
  <c r="A180" i="34"/>
  <c r="A145" i="34"/>
  <c r="A144" i="34"/>
  <c r="A143" i="34"/>
  <c r="A138" i="34"/>
  <c r="A137" i="34"/>
  <c r="A136" i="34"/>
  <c r="A135" i="34"/>
  <c r="G142" i="34"/>
  <c r="K142" i="34" s="1"/>
  <c r="M142" i="34" s="1"/>
  <c r="A142" i="34"/>
  <c r="G141" i="34"/>
  <c r="K141" i="34" s="1"/>
  <c r="M141" i="34" s="1"/>
  <c r="A141" i="34"/>
  <c r="A140" i="34"/>
  <c r="A139" i="34"/>
  <c r="A134" i="34"/>
  <c r="A133" i="34"/>
  <c r="A132" i="34"/>
  <c r="A131" i="34"/>
  <c r="A98" i="34"/>
  <c r="A97" i="34"/>
  <c r="A96" i="34"/>
  <c r="A95" i="34"/>
  <c r="G94" i="34"/>
  <c r="L94" i="34" s="1"/>
  <c r="A94" i="34"/>
  <c r="G93" i="34"/>
  <c r="K93" i="34" s="1"/>
  <c r="M93" i="34" s="1"/>
  <c r="A93" i="34"/>
  <c r="G92" i="34"/>
  <c r="K92" i="34" s="1"/>
  <c r="M92" i="34" s="1"/>
  <c r="A92" i="34"/>
  <c r="G91" i="34"/>
  <c r="K91" i="34" s="1"/>
  <c r="M91" i="34" s="1"/>
  <c r="A91" i="34"/>
  <c r="G90" i="34"/>
  <c r="K90" i="34" s="1"/>
  <c r="M90" i="34" s="1"/>
  <c r="A90" i="34"/>
  <c r="A89" i="34"/>
  <c r="G88" i="34"/>
  <c r="K88" i="34" s="1"/>
  <c r="M88" i="34" s="1"/>
  <c r="A88" i="34"/>
  <c r="G87" i="34"/>
  <c r="K87" i="34" s="1"/>
  <c r="M87" i="34" s="1"/>
  <c r="A87" i="34"/>
  <c r="G86" i="34"/>
  <c r="K86" i="34" s="1"/>
  <c r="M86" i="34" s="1"/>
  <c r="A86" i="34"/>
  <c r="A85" i="34"/>
  <c r="G84" i="34"/>
  <c r="K84" i="34" s="1"/>
  <c r="M84" i="34" s="1"/>
  <c r="A84" i="34"/>
  <c r="G83" i="34"/>
  <c r="K83" i="34" s="1"/>
  <c r="M83" i="34" s="1"/>
  <c r="A83" i="34"/>
  <c r="G82" i="34"/>
  <c r="K82" i="34" s="1"/>
  <c r="M82" i="34" s="1"/>
  <c r="A82" i="34"/>
  <c r="A81" i="34"/>
  <c r="G80" i="34"/>
  <c r="K80" i="34" s="1"/>
  <c r="M80" i="34" s="1"/>
  <c r="A80" i="34"/>
  <c r="G79" i="34"/>
  <c r="K79" i="34" s="1"/>
  <c r="M79" i="34" s="1"/>
  <c r="A79" i="34"/>
  <c r="G78" i="34"/>
  <c r="K78" i="34" s="1"/>
  <c r="M78" i="34" s="1"/>
  <c r="A78" i="34"/>
  <c r="A77" i="34"/>
  <c r="G76" i="34"/>
  <c r="K76" i="34" s="1"/>
  <c r="M76" i="34" s="1"/>
  <c r="A76" i="34"/>
  <c r="G75" i="34"/>
  <c r="K75" i="34" s="1"/>
  <c r="M75" i="34" s="1"/>
  <c r="A75" i="34"/>
  <c r="G74" i="34"/>
  <c r="K74" i="34" s="1"/>
  <c r="M74" i="34" s="1"/>
  <c r="A74" i="34"/>
  <c r="G73" i="34"/>
  <c r="K73" i="34" s="1"/>
  <c r="M73" i="34" s="1"/>
  <c r="A73" i="34"/>
  <c r="A72" i="34"/>
  <c r="G71" i="34"/>
  <c r="K71" i="34" s="1"/>
  <c r="M71" i="34" s="1"/>
  <c r="A71" i="34"/>
  <c r="G70" i="34"/>
  <c r="K70" i="34" s="1"/>
  <c r="M70" i="34" s="1"/>
  <c r="A70" i="34"/>
  <c r="G69" i="34"/>
  <c r="K69" i="34" s="1"/>
  <c r="A69" i="34"/>
  <c r="A68" i="34"/>
  <c r="G141" i="33"/>
  <c r="K141" i="33" s="1"/>
  <c r="M141" i="33" s="1"/>
  <c r="G143" i="33"/>
  <c r="G145" i="33" s="1"/>
  <c r="K145" i="33" s="1"/>
  <c r="M145" i="33" s="1"/>
  <c r="G135" i="33"/>
  <c r="G138" i="33" s="1"/>
  <c r="K138" i="33" s="1"/>
  <c r="M138" i="33" s="1"/>
  <c r="G131" i="33"/>
  <c r="G95" i="33"/>
  <c r="G194" i="33"/>
  <c r="K194" i="33" s="1"/>
  <c r="M194" i="33" s="1"/>
  <c r="A194" i="33"/>
  <c r="G193" i="33"/>
  <c r="K193" i="33" s="1"/>
  <c r="M193" i="33" s="1"/>
  <c r="A193" i="33"/>
  <c r="A192" i="33"/>
  <c r="G187" i="33"/>
  <c r="K187" i="33" s="1"/>
  <c r="M187" i="33" s="1"/>
  <c r="A187" i="33"/>
  <c r="G186" i="33"/>
  <c r="K186" i="33" s="1"/>
  <c r="M186" i="33" s="1"/>
  <c r="A186" i="33"/>
  <c r="G185" i="33"/>
  <c r="K185" i="33" s="1"/>
  <c r="M185" i="33" s="1"/>
  <c r="A185" i="33"/>
  <c r="A184" i="33"/>
  <c r="G191" i="33"/>
  <c r="K191" i="33" s="1"/>
  <c r="M191" i="33" s="1"/>
  <c r="A191" i="33"/>
  <c r="G190" i="33"/>
  <c r="K190" i="33" s="1"/>
  <c r="M190" i="33" s="1"/>
  <c r="A190" i="33"/>
  <c r="G189" i="33"/>
  <c r="K189" i="33" s="1"/>
  <c r="M189" i="33" s="1"/>
  <c r="A189" i="33"/>
  <c r="A188" i="33"/>
  <c r="G183" i="33"/>
  <c r="K183" i="33" s="1"/>
  <c r="M183" i="33" s="1"/>
  <c r="A183" i="33"/>
  <c r="G182" i="33"/>
  <c r="K182" i="33" s="1"/>
  <c r="M182" i="33" s="1"/>
  <c r="A182" i="33"/>
  <c r="G181" i="33"/>
  <c r="K181" i="33" s="1"/>
  <c r="M181" i="33" s="1"/>
  <c r="A181" i="33"/>
  <c r="A180" i="33"/>
  <c r="A145" i="33"/>
  <c r="A144" i="33"/>
  <c r="A143" i="33"/>
  <c r="A138" i="33"/>
  <c r="A137" i="33"/>
  <c r="A136" i="33"/>
  <c r="A135" i="33"/>
  <c r="A142" i="33"/>
  <c r="A141" i="33"/>
  <c r="A140" i="33"/>
  <c r="A139" i="33"/>
  <c r="A134" i="33"/>
  <c r="A133" i="33"/>
  <c r="A132" i="33"/>
  <c r="A131" i="33"/>
  <c r="G97" i="33"/>
  <c r="L97" i="33" s="1"/>
  <c r="M97" i="33" s="1"/>
  <c r="A98" i="33"/>
  <c r="A97" i="33"/>
  <c r="G96" i="33"/>
  <c r="K96" i="33" s="1"/>
  <c r="M96" i="33" s="1"/>
  <c r="A96" i="33"/>
  <c r="A95" i="33"/>
  <c r="G94" i="33"/>
  <c r="L94" i="33" s="1"/>
  <c r="A94" i="33"/>
  <c r="G93" i="33"/>
  <c r="K93" i="33" s="1"/>
  <c r="M93" i="33" s="1"/>
  <c r="A93" i="33"/>
  <c r="G92" i="33"/>
  <c r="K92" i="33" s="1"/>
  <c r="M92" i="33" s="1"/>
  <c r="A92" i="33"/>
  <c r="G91" i="33"/>
  <c r="K91" i="33" s="1"/>
  <c r="M91" i="33" s="1"/>
  <c r="A91" i="33"/>
  <c r="G90" i="33"/>
  <c r="K90" i="33" s="1"/>
  <c r="M90" i="33" s="1"/>
  <c r="A90" i="33"/>
  <c r="A89" i="33"/>
  <c r="G88" i="33"/>
  <c r="K88" i="33" s="1"/>
  <c r="M88" i="33" s="1"/>
  <c r="A88" i="33"/>
  <c r="G87" i="33"/>
  <c r="K87" i="33" s="1"/>
  <c r="M87" i="33" s="1"/>
  <c r="A87" i="33"/>
  <c r="G86" i="33"/>
  <c r="K86" i="33" s="1"/>
  <c r="M86" i="33" s="1"/>
  <c r="A86" i="33"/>
  <c r="A85" i="33"/>
  <c r="G84" i="33"/>
  <c r="K84" i="33" s="1"/>
  <c r="M84" i="33" s="1"/>
  <c r="A84" i="33"/>
  <c r="G83" i="33"/>
  <c r="K83" i="33" s="1"/>
  <c r="M83" i="33" s="1"/>
  <c r="A83" i="33"/>
  <c r="G82" i="33"/>
  <c r="K82" i="33" s="1"/>
  <c r="M82" i="33" s="1"/>
  <c r="A82" i="33"/>
  <c r="A81" i="33"/>
  <c r="G80" i="33"/>
  <c r="K80" i="33" s="1"/>
  <c r="M80" i="33" s="1"/>
  <c r="A80" i="33"/>
  <c r="G79" i="33"/>
  <c r="K79" i="33" s="1"/>
  <c r="M79" i="33" s="1"/>
  <c r="A79" i="33"/>
  <c r="G78" i="33"/>
  <c r="K78" i="33" s="1"/>
  <c r="M78" i="33" s="1"/>
  <c r="A78" i="33"/>
  <c r="A77" i="33"/>
  <c r="G76" i="33"/>
  <c r="K76" i="33" s="1"/>
  <c r="M76" i="33" s="1"/>
  <c r="A76" i="33"/>
  <c r="G75" i="33"/>
  <c r="K75" i="33" s="1"/>
  <c r="M75" i="33" s="1"/>
  <c r="A75" i="33"/>
  <c r="G74" i="33"/>
  <c r="K74" i="33" s="1"/>
  <c r="M74" i="33" s="1"/>
  <c r="A74" i="33"/>
  <c r="G73" i="33"/>
  <c r="K73" i="33" s="1"/>
  <c r="M73" i="33" s="1"/>
  <c r="A73" i="33"/>
  <c r="A72" i="33"/>
  <c r="G71" i="33"/>
  <c r="K71" i="33" s="1"/>
  <c r="M71" i="33" s="1"/>
  <c r="A71" i="33"/>
  <c r="G70" i="33"/>
  <c r="K70" i="33" s="1"/>
  <c r="M70" i="33" s="1"/>
  <c r="A70" i="33"/>
  <c r="G69" i="33"/>
  <c r="K69" i="33" s="1"/>
  <c r="A69" i="33"/>
  <c r="A68" i="33"/>
  <c r="M95" i="38" l="1"/>
  <c r="L196" i="38"/>
  <c r="M70" i="38"/>
  <c r="M68" i="37"/>
  <c r="M93" i="37"/>
  <c r="L194" i="37"/>
  <c r="M70" i="36"/>
  <c r="M95" i="36"/>
  <c r="L196" i="36"/>
  <c r="M69" i="35"/>
  <c r="M94" i="35"/>
  <c r="L195" i="35"/>
  <c r="M94" i="34"/>
  <c r="L195" i="34"/>
  <c r="M69" i="34"/>
  <c r="M94" i="33"/>
  <c r="L195" i="33"/>
  <c r="M69" i="33"/>
  <c r="M78" i="3"/>
  <c r="G138" i="38"/>
  <c r="K138" i="38" s="1"/>
  <c r="M138" i="38" s="1"/>
  <c r="G143" i="37"/>
  <c r="K143" i="37" s="1"/>
  <c r="M143" i="37" s="1"/>
  <c r="G134" i="36"/>
  <c r="K134" i="36" s="1"/>
  <c r="M134" i="36" s="1"/>
  <c r="G137" i="34"/>
  <c r="K137" i="34" s="1"/>
  <c r="M137" i="34" s="1"/>
  <c r="G138" i="34"/>
  <c r="K138" i="34" s="1"/>
  <c r="M138" i="34" s="1"/>
  <c r="G136" i="33"/>
  <c r="K136" i="33" s="1"/>
  <c r="M136" i="33" s="1"/>
  <c r="G135" i="37"/>
  <c r="K135" i="37" s="1"/>
  <c r="M135" i="37" s="1"/>
  <c r="G136" i="37"/>
  <c r="K136" i="37" s="1"/>
  <c r="M136" i="37" s="1"/>
  <c r="G137" i="37"/>
  <c r="K137" i="37" s="1"/>
  <c r="M137" i="37" s="1"/>
  <c r="G145" i="36"/>
  <c r="K145" i="36" s="1"/>
  <c r="M145" i="36" s="1"/>
  <c r="G141" i="35"/>
  <c r="K141" i="35" s="1"/>
  <c r="M141" i="35" s="1"/>
  <c r="G145" i="34"/>
  <c r="K145" i="34" s="1"/>
  <c r="M145" i="34" s="1"/>
  <c r="G140" i="33"/>
  <c r="K140" i="33" s="1"/>
  <c r="M140" i="33" s="1"/>
  <c r="G144" i="33"/>
  <c r="K144" i="33" s="1"/>
  <c r="M144" i="33" s="1"/>
  <c r="G146" i="38"/>
  <c r="K146" i="38" s="1"/>
  <c r="M146" i="38" s="1"/>
  <c r="G133" i="38"/>
  <c r="K133" i="38" s="1"/>
  <c r="M133" i="38" s="1"/>
  <c r="G134" i="38"/>
  <c r="K134" i="38" s="1"/>
  <c r="M134" i="38" s="1"/>
  <c r="G135" i="38"/>
  <c r="K135" i="38" s="1"/>
  <c r="M135" i="38" s="1"/>
  <c r="G131" i="37"/>
  <c r="K131" i="37" s="1"/>
  <c r="M131" i="37" s="1"/>
  <c r="M194" i="37" s="1"/>
  <c r="M195" i="37" s="1"/>
  <c r="G132" i="37"/>
  <c r="K132" i="37" s="1"/>
  <c r="M132" i="37" s="1"/>
  <c r="G133" i="37"/>
  <c r="K133" i="37" s="1"/>
  <c r="M133" i="37" s="1"/>
  <c r="G139" i="36"/>
  <c r="K139" i="36" s="1"/>
  <c r="M139" i="36" s="1"/>
  <c r="G137" i="36"/>
  <c r="K137" i="36" s="1"/>
  <c r="M137" i="36" s="1"/>
  <c r="G138" i="36"/>
  <c r="K138" i="36" s="1"/>
  <c r="M138" i="36" s="1"/>
  <c r="G142" i="36"/>
  <c r="K142" i="36" s="1"/>
  <c r="M142" i="36" s="1"/>
  <c r="G135" i="36"/>
  <c r="K135" i="36" s="1"/>
  <c r="M135" i="36" s="1"/>
  <c r="G136" i="35"/>
  <c r="K136" i="35" s="1"/>
  <c r="M136" i="35" s="1"/>
  <c r="G132" i="35"/>
  <c r="K132" i="35" s="1"/>
  <c r="M132" i="35" s="1"/>
  <c r="G142" i="35"/>
  <c r="K142" i="35" s="1"/>
  <c r="M142" i="35" s="1"/>
  <c r="G133" i="35"/>
  <c r="K133" i="35" s="1"/>
  <c r="M133" i="35" s="1"/>
  <c r="G134" i="35"/>
  <c r="K134" i="35" s="1"/>
  <c r="M134" i="35" s="1"/>
  <c r="G137" i="35"/>
  <c r="K137" i="35" s="1"/>
  <c r="M137" i="35" s="1"/>
  <c r="G132" i="34"/>
  <c r="K132" i="34" s="1"/>
  <c r="M132" i="34" s="1"/>
  <c r="G133" i="34"/>
  <c r="K133" i="34" s="1"/>
  <c r="M133" i="34" s="1"/>
  <c r="G134" i="34"/>
  <c r="K134" i="34" s="1"/>
  <c r="M134" i="34" s="1"/>
  <c r="G132" i="33"/>
  <c r="K132" i="33" s="1"/>
  <c r="M132" i="33" s="1"/>
  <c r="G142" i="33"/>
  <c r="K142" i="33" s="1"/>
  <c r="M142" i="33" s="1"/>
  <c r="G133" i="33"/>
  <c r="K133" i="33" s="1"/>
  <c r="M133" i="33" s="1"/>
  <c r="G134" i="33"/>
  <c r="K134" i="33" s="1"/>
  <c r="M134" i="33" s="1"/>
  <c r="G137" i="33"/>
  <c r="K137" i="33" s="1"/>
  <c r="M137" i="33" s="1"/>
  <c r="K196" i="38" l="1"/>
  <c r="M196" i="38"/>
  <c r="M197" i="38" s="1"/>
  <c r="K194" i="37"/>
  <c r="K196" i="36"/>
  <c r="M196" i="36"/>
  <c r="M197" i="36" s="1"/>
  <c r="M195" i="35"/>
  <c r="M196" i="35" s="1"/>
  <c r="K195" i="35"/>
  <c r="M195" i="34"/>
  <c r="M196" i="34" s="1"/>
  <c r="K195" i="34"/>
  <c r="M195" i="33"/>
  <c r="M196" i="33" s="1"/>
  <c r="K195" i="33"/>
  <c r="A195" i="3"/>
  <c r="A194" i="3"/>
  <c r="G194" i="3"/>
  <c r="K194" i="3" s="1"/>
  <c r="M194" i="3" s="1"/>
  <c r="A193" i="3"/>
  <c r="A188" i="3"/>
  <c r="G187" i="3"/>
  <c r="K187" i="3" s="1"/>
  <c r="M187" i="3" s="1"/>
  <c r="A187" i="3"/>
  <c r="A186" i="3"/>
  <c r="G188" i="3"/>
  <c r="K188" i="3" s="1"/>
  <c r="M188" i="3" s="1"/>
  <c r="A185" i="3"/>
  <c r="A192" i="3"/>
  <c r="G191" i="3"/>
  <c r="K191" i="3" s="1"/>
  <c r="M191" i="3" s="1"/>
  <c r="A191" i="3"/>
  <c r="A190" i="3"/>
  <c r="G192" i="3"/>
  <c r="K192" i="3" s="1"/>
  <c r="M192" i="3" s="1"/>
  <c r="A189" i="3"/>
  <c r="A184" i="3"/>
  <c r="A183" i="3"/>
  <c r="A182" i="3"/>
  <c r="G182" i="3"/>
  <c r="K182" i="3" s="1"/>
  <c r="M182" i="3" s="1"/>
  <c r="A181" i="3"/>
  <c r="G144" i="3"/>
  <c r="L144" i="3" s="1"/>
  <c r="M144" i="3" s="1"/>
  <c r="G136" i="3"/>
  <c r="G143" i="3"/>
  <c r="K143" i="3" s="1"/>
  <c r="M143" i="3" s="1"/>
  <c r="G132" i="3"/>
  <c r="G99" i="3"/>
  <c r="G97" i="3"/>
  <c r="K97" i="3" s="1"/>
  <c r="M97" i="3" s="1"/>
  <c r="G96" i="3"/>
  <c r="A97" i="3"/>
  <c r="G89" i="3"/>
  <c r="K89" i="3" s="1"/>
  <c r="M89" i="3" s="1"/>
  <c r="A89" i="3"/>
  <c r="G88" i="3"/>
  <c r="K88" i="3" s="1"/>
  <c r="M88" i="3" s="1"/>
  <c r="A88" i="3"/>
  <c r="G87" i="3"/>
  <c r="K87" i="3" s="1"/>
  <c r="M87" i="3" s="1"/>
  <c r="A87" i="3"/>
  <c r="A86" i="3"/>
  <c r="A85" i="3"/>
  <c r="A84" i="3"/>
  <c r="A83" i="3"/>
  <c r="G85" i="3"/>
  <c r="K85" i="3" s="1"/>
  <c r="M85" i="3" s="1"/>
  <c r="G84" i="3"/>
  <c r="K84" i="3" s="1"/>
  <c r="M84" i="3" s="1"/>
  <c r="G83" i="3"/>
  <c r="K83" i="3" s="1"/>
  <c r="M83" i="3" s="1"/>
  <c r="A82" i="3"/>
  <c r="G93" i="3"/>
  <c r="K93" i="3" s="1"/>
  <c r="M93" i="3" s="1"/>
  <c r="G92" i="3"/>
  <c r="K92" i="3" s="1"/>
  <c r="M92" i="3" s="1"/>
  <c r="G91" i="3"/>
  <c r="K91" i="3" s="1"/>
  <c r="M91" i="3" s="1"/>
  <c r="G76" i="3"/>
  <c r="K76" i="3" s="1"/>
  <c r="M76" i="3" s="1"/>
  <c r="G74" i="3"/>
  <c r="K74" i="3" s="1"/>
  <c r="M74" i="3" s="1"/>
  <c r="G75" i="3"/>
  <c r="K75" i="3" s="1"/>
  <c r="M75" i="3" s="1"/>
  <c r="G94" i="3"/>
  <c r="K94" i="3" s="1"/>
  <c r="M94" i="3" s="1"/>
  <c r="A94" i="3"/>
  <c r="A93" i="3"/>
  <c r="A92" i="3"/>
  <c r="A91" i="3"/>
  <c r="A90" i="3"/>
  <c r="G81" i="3"/>
  <c r="K81" i="3" s="1"/>
  <c r="M81" i="3" s="1"/>
  <c r="G80" i="3"/>
  <c r="K80" i="3" s="1"/>
  <c r="M80" i="3" s="1"/>
  <c r="G79" i="3"/>
  <c r="K79" i="3" s="1"/>
  <c r="M79" i="3" s="1"/>
  <c r="G77" i="3"/>
  <c r="K77" i="3" s="1"/>
  <c r="M77" i="3" s="1"/>
  <c r="G72" i="3"/>
  <c r="K72" i="3" s="1"/>
  <c r="M72" i="3" s="1"/>
  <c r="G71" i="3"/>
  <c r="K71" i="3" s="1"/>
  <c r="M71" i="3" s="1"/>
  <c r="G70" i="3"/>
  <c r="K70" i="3" s="1"/>
  <c r="M70" i="3" s="1"/>
  <c r="A146" i="3"/>
  <c r="A145" i="3"/>
  <c r="A144" i="3"/>
  <c r="A139" i="3"/>
  <c r="A138" i="3"/>
  <c r="A137" i="3"/>
  <c r="A136" i="3"/>
  <c r="A129" i="3"/>
  <c r="A128" i="3"/>
  <c r="A127" i="3"/>
  <c r="A126" i="3"/>
  <c r="A125" i="3"/>
  <c r="A120" i="3"/>
  <c r="A115" i="3"/>
  <c r="A143" i="3"/>
  <c r="A142" i="3"/>
  <c r="A141" i="3"/>
  <c r="A140" i="3"/>
  <c r="A135" i="3"/>
  <c r="A134" i="3"/>
  <c r="A133" i="3"/>
  <c r="A132" i="3"/>
  <c r="A114" i="3"/>
  <c r="A113" i="3"/>
  <c r="A112" i="3"/>
  <c r="A111" i="3"/>
  <c r="A64" i="3"/>
  <c r="A67" i="3"/>
  <c r="A66" i="3"/>
  <c r="A65" i="3"/>
  <c r="A63" i="3"/>
  <c r="A62" i="3"/>
  <c r="A61" i="3"/>
  <c r="A60" i="3"/>
  <c r="A59" i="3"/>
  <c r="A49" i="3"/>
  <c r="A47" i="3"/>
  <c r="A46" i="3"/>
  <c r="A45" i="3"/>
  <c r="A58" i="3"/>
  <c r="A57" i="3"/>
  <c r="A56" i="3"/>
  <c r="A55" i="3"/>
  <c r="A54" i="3"/>
  <c r="A53" i="3"/>
  <c r="A52" i="3"/>
  <c r="A51" i="3"/>
  <c r="A50" i="3"/>
  <c r="A35" i="3"/>
  <c r="A34" i="3"/>
  <c r="A99" i="3"/>
  <c r="A98" i="3"/>
  <c r="A96" i="3"/>
  <c r="A95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44" i="3"/>
  <c r="A43" i="3"/>
  <c r="A42" i="3"/>
  <c r="A41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5" i="3"/>
  <c r="A14" i="3"/>
  <c r="A11" i="3"/>
  <c r="G95" i="3" l="1"/>
  <c r="L95" i="3" s="1"/>
  <c r="K96" i="3"/>
  <c r="M96" i="3" s="1"/>
  <c r="G98" i="3"/>
  <c r="L98" i="3" s="1"/>
  <c r="M98" i="3" s="1"/>
  <c r="K99" i="3"/>
  <c r="M99" i="3" s="1"/>
  <c r="G135" i="3"/>
  <c r="K135" i="3" s="1"/>
  <c r="M135" i="3" s="1"/>
  <c r="L132" i="3"/>
  <c r="M132" i="3" s="1"/>
  <c r="G139" i="3"/>
  <c r="K139" i="3" s="1"/>
  <c r="M139" i="3" s="1"/>
  <c r="L136" i="3"/>
  <c r="M136" i="3" s="1"/>
  <c r="G186" i="3"/>
  <c r="K186" i="3" s="1"/>
  <c r="M186" i="3" s="1"/>
  <c r="G195" i="3"/>
  <c r="K195" i="3" s="1"/>
  <c r="M195" i="3" s="1"/>
  <c r="G183" i="3"/>
  <c r="K183" i="3" s="1"/>
  <c r="M183" i="3" s="1"/>
  <c r="G184" i="3"/>
  <c r="K184" i="3" s="1"/>
  <c r="M184" i="3" s="1"/>
  <c r="G190" i="3"/>
  <c r="K190" i="3" s="1"/>
  <c r="M190" i="3" s="1"/>
  <c r="G137" i="3"/>
  <c r="K137" i="3" s="1"/>
  <c r="M137" i="3" s="1"/>
  <c r="G133" i="3"/>
  <c r="K133" i="3" s="1"/>
  <c r="M133" i="3" s="1"/>
  <c r="G138" i="3"/>
  <c r="K138" i="3" s="1"/>
  <c r="M138" i="3" s="1"/>
  <c r="G134" i="3"/>
  <c r="K134" i="3" s="1"/>
  <c r="M134" i="3" s="1"/>
  <c r="G141" i="3"/>
  <c r="K141" i="3" s="1"/>
  <c r="M141" i="3" s="1"/>
  <c r="G142" i="3"/>
  <c r="K142" i="3" s="1"/>
  <c r="M142" i="3" s="1"/>
  <c r="M95" i="3" l="1"/>
  <c r="L196" i="3"/>
  <c r="G32" i="3"/>
  <c r="K32" i="3" s="1"/>
  <c r="M32" i="3" l="1"/>
  <c r="G154" i="3"/>
  <c r="K154" i="3" s="1"/>
  <c r="M154" i="3" s="1"/>
  <c r="G153" i="3"/>
  <c r="K153" i="3" s="1"/>
  <c r="M153" i="3" s="1"/>
  <c r="G152" i="3"/>
  <c r="K152" i="3" s="1"/>
  <c r="M152" i="3" s="1"/>
  <c r="G146" i="3" l="1"/>
  <c r="K146" i="3" s="1"/>
  <c r="M146" i="3" s="1"/>
  <c r="G145" i="3"/>
  <c r="K145" i="3" s="1"/>
  <c r="M145" i="3" s="1"/>
  <c r="G114" i="3" l="1"/>
  <c r="K114" i="3" s="1"/>
  <c r="M114" i="3" s="1"/>
  <c r="G113" i="3"/>
  <c r="K113" i="3" s="1"/>
  <c r="M113" i="3" s="1"/>
  <c r="G112" i="3"/>
  <c r="K112" i="3" s="1"/>
  <c r="M112" i="3" l="1"/>
  <c r="M196" i="3" s="1"/>
  <c r="M197" i="3" s="1"/>
  <c r="K196" i="3"/>
</calcChain>
</file>

<file path=xl/sharedStrings.xml><?xml version="1.0" encoding="utf-8"?>
<sst xmlns="http://schemas.openxmlformats.org/spreadsheetml/2006/main" count="4489" uniqueCount="157">
  <si>
    <t>Код</t>
  </si>
  <si>
    <t>Примечание</t>
  </si>
  <si>
    <t>Материалы/ оборудование</t>
  </si>
  <si>
    <t>Кол-во</t>
  </si>
  <si>
    <t>Наименование  затрат</t>
  </si>
  <si>
    <t>Ед. изм.</t>
  </si>
  <si>
    <t>Коэф. Расхода</t>
  </si>
  <si>
    <t>СМР</t>
  </si>
  <si>
    <t>м2</t>
  </si>
  <si>
    <t>Клей для плитки</t>
  </si>
  <si>
    <t>кг</t>
  </si>
  <si>
    <t xml:space="preserve">Затирка для швов </t>
  </si>
  <si>
    <t>м.п</t>
  </si>
  <si>
    <t xml:space="preserve">Грунтовка универсальная не концентрат </t>
  </si>
  <si>
    <t>л</t>
  </si>
  <si>
    <t>Окраска стен</t>
  </si>
  <si>
    <t>Устройство покрытий из керамогранита</t>
  </si>
  <si>
    <t>Устройство плинтуса: из керамогранита высотой на 100 мм</t>
  </si>
  <si>
    <t xml:space="preserve">Облицовка внутренних стен керамогранитами плитами с затиркой швов, в т.ч обрамление лифтового портала </t>
  </si>
  <si>
    <t xml:space="preserve">Окраска стен </t>
  </si>
  <si>
    <t>Отделка дверных и оконных откосов</t>
  </si>
  <si>
    <t>Шпатлевка стен</t>
  </si>
  <si>
    <t>договорная цена</t>
  </si>
  <si>
    <t>Шпатлевка Sheetrock универсальная</t>
  </si>
  <si>
    <t>м.п.</t>
  </si>
  <si>
    <t>материал подрядчика</t>
  </si>
  <si>
    <t>8</t>
  </si>
  <si>
    <t>9</t>
  </si>
  <si>
    <t>10</t>
  </si>
  <si>
    <t>11</t>
  </si>
  <si>
    <t>12</t>
  </si>
  <si>
    <t>13</t>
  </si>
  <si>
    <t>Грунтовка-концентрат Кнауф Миттельгрунд глубокого проникновения, 10 кг</t>
  </si>
  <si>
    <t>Штукатурка гипсовая</t>
  </si>
  <si>
    <t>шт</t>
  </si>
  <si>
    <t xml:space="preserve">Профиль направляющий </t>
  </si>
  <si>
    <t xml:space="preserve">Шуруп самонарезающийся </t>
  </si>
  <si>
    <t>Шпаклевка КНАУФ-Фуген</t>
  </si>
  <si>
    <t xml:space="preserve">Лента армирующая </t>
  </si>
  <si>
    <t>Профиль потолочный</t>
  </si>
  <si>
    <t>Удлинитель профилей</t>
  </si>
  <si>
    <t>Соединитель (краб)</t>
  </si>
  <si>
    <t xml:space="preserve">Подвес с зажимом </t>
  </si>
  <si>
    <t xml:space="preserve">Тяга подвеса </t>
  </si>
  <si>
    <t xml:space="preserve">Потолочнй дюбель </t>
  </si>
  <si>
    <t>Устройство плинтуса: из керамогранита высотой на 300 мм</t>
  </si>
  <si>
    <t>Профиль Лука торцевой К 10НС 10*5*0,8 Нержавеющая сталь</t>
  </si>
  <si>
    <t>Устройство грязезащитной решетки</t>
  </si>
  <si>
    <t xml:space="preserve">Устройство грязезащитного ворсового покрытия </t>
  </si>
  <si>
    <t>Отделка стен внутри помещения по подготовленным поверхностям декоративной штукатуркой</t>
  </si>
  <si>
    <t>Устройство профиля для защиты углов УГ-1</t>
  </si>
  <si>
    <t>Профиль Лука уголовой ПУ 15НС 15*15*0,8 Нержавеющая сталь сатинированная</t>
  </si>
  <si>
    <t>Шпаклевка базовая</t>
  </si>
  <si>
    <r>
      <t xml:space="preserve">на объекте: </t>
    </r>
    <r>
      <rPr>
        <b/>
        <sz val="12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</t>
    </r>
    <r>
      <rPr>
        <sz val="12"/>
        <rFont val="Times New Roman"/>
        <family val="1"/>
        <charset val="204"/>
      </rPr>
      <t xml:space="preserve"> Секция 1А</t>
    </r>
  </si>
  <si>
    <r>
      <t>на выполнение комплекса работ по</t>
    </r>
    <r>
      <rPr>
        <i/>
        <sz val="12"/>
        <rFont val="Times New Roman"/>
        <family val="1"/>
        <charset val="204"/>
      </rPr>
      <t xml:space="preserve"> чистовой отделке МОП</t>
    </r>
  </si>
  <si>
    <t xml:space="preserve">Приложение №   </t>
  </si>
  <si>
    <t xml:space="preserve">к договору подряда №                           от                      </t>
  </si>
  <si>
    <t>Коммерческое предложение</t>
  </si>
  <si>
    <t>Уральский гранит UF004MR RELIEF асфальт, 600х1200 мм</t>
  </si>
  <si>
    <t>КГ-1</t>
  </si>
  <si>
    <t>Уральский гранит UF004MR RELIEF асфальт, 600х1200 мм, h=300 мм</t>
  </si>
  <si>
    <t>ПЛ-КГ1</t>
  </si>
  <si>
    <t>Устройство покрытий из керамогранита (ЛК)</t>
  </si>
  <si>
    <t>Уральский гранит UF004M Асфальт, 300х300х8м</t>
  </si>
  <si>
    <t>КГ-2</t>
  </si>
  <si>
    <t>ПЛ-КГ1.1</t>
  </si>
  <si>
    <t>Уральский гранит UF004MR RELIEF асфальт, 600х1200, h=100 мм</t>
  </si>
  <si>
    <t>Уральский гранит UF004M Асфальт, 300х300х8мм</t>
  </si>
  <si>
    <t>КГ-2с</t>
  </si>
  <si>
    <t>КГ-2п</t>
  </si>
  <si>
    <t>СТАНДАРТПАРК Сити щетка+резина+скребок (придверная решетка) 11108</t>
  </si>
  <si>
    <t>Профиль для грязезащиты алюминиевый ПГ-13 20х2500 мм</t>
  </si>
  <si>
    <t>СТАНДАРТПАРК Ковровое покрытие "Цикада LT 1200" цвет черный</t>
  </si>
  <si>
    <t>Гр-1.1, Гр-1.2</t>
  </si>
  <si>
    <t>Пр-ГР</t>
  </si>
  <si>
    <t>Гр-2.1, Гр-2.2</t>
  </si>
  <si>
    <t>Окраска стен (сапожок ПЛ-пок) высотой 100 мм</t>
  </si>
  <si>
    <r>
      <t xml:space="preserve">на объекте: </t>
    </r>
    <r>
      <rPr>
        <b/>
        <sz val="12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</t>
    </r>
    <r>
      <rPr>
        <sz val="12"/>
        <rFont val="Times New Roman"/>
        <family val="1"/>
        <charset val="204"/>
      </rPr>
      <t xml:space="preserve"> Секция 1Б</t>
    </r>
  </si>
  <si>
    <r>
      <t xml:space="preserve">на объекте: </t>
    </r>
    <r>
      <rPr>
        <b/>
        <sz val="12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</t>
    </r>
    <r>
      <rPr>
        <sz val="12"/>
        <rFont val="Times New Roman"/>
        <family val="1"/>
        <charset val="204"/>
      </rPr>
      <t xml:space="preserve"> Секция 2А</t>
    </r>
  </si>
  <si>
    <r>
      <t xml:space="preserve">на объекте: </t>
    </r>
    <r>
      <rPr>
        <b/>
        <sz val="12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</t>
    </r>
    <r>
      <rPr>
        <sz val="12"/>
        <rFont val="Times New Roman"/>
        <family val="1"/>
        <charset val="204"/>
      </rPr>
      <t xml:space="preserve"> Секция 2Б</t>
    </r>
  </si>
  <si>
    <r>
      <t xml:space="preserve">на объекте: </t>
    </r>
    <r>
      <rPr>
        <b/>
        <sz val="12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</t>
    </r>
    <r>
      <rPr>
        <sz val="12"/>
        <rFont val="Times New Roman"/>
        <family val="1"/>
        <charset val="204"/>
      </rPr>
      <t xml:space="preserve"> Секция 3А</t>
    </r>
  </si>
  <si>
    <r>
      <t xml:space="preserve">на объекте: </t>
    </r>
    <r>
      <rPr>
        <b/>
        <sz val="12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</t>
    </r>
    <r>
      <rPr>
        <sz val="12"/>
        <rFont val="Times New Roman"/>
        <family val="1"/>
        <charset val="204"/>
      </rPr>
      <t xml:space="preserve"> Секция 3Б</t>
    </r>
  </si>
  <si>
    <r>
      <t xml:space="preserve">на объекте: </t>
    </r>
    <r>
      <rPr>
        <b/>
        <sz val="12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</t>
    </r>
    <r>
      <rPr>
        <sz val="12"/>
        <rFont val="Times New Roman"/>
        <family val="1"/>
        <charset val="204"/>
      </rPr>
      <t xml:space="preserve"> Секция 3В</t>
    </r>
  </si>
  <si>
    <t>Гр-2.1</t>
  </si>
  <si>
    <t>0.1.4.5.3</t>
  </si>
  <si>
    <t>Отделка мест общего пользования (МОП)</t>
  </si>
  <si>
    <t>МОП 1 этаж</t>
  </si>
  <si>
    <t>0.1.4.5.3.1</t>
  </si>
  <si>
    <t>Отделка потолков мест общего пользования (МОП)</t>
  </si>
  <si>
    <t>0.1.4.5.3.1.4.1</t>
  </si>
  <si>
    <t>Устройство подвесных потолков из ГКЛ одноуровневых</t>
  </si>
  <si>
    <t>Лист гипсокартонный Кнауф ГСП (А)</t>
  </si>
  <si>
    <t>Лист гипсокартонный Кнауф ГСП (Н3)</t>
  </si>
  <si>
    <t>ПУИ</t>
  </si>
  <si>
    <t>тамбуры</t>
  </si>
  <si>
    <t>Цементная плита Кнауф-Аквапанель</t>
  </si>
  <si>
    <t>0.1.4.5.3.1.4.8</t>
  </si>
  <si>
    <t>Устройство подвесных потолков реечных</t>
  </si>
  <si>
    <t>Рейка HIMMEL RC 50х110 мм, шаг 60 мм цвет RAL 3003</t>
  </si>
  <si>
    <t>0.1.4.5.3.1.1.1</t>
  </si>
  <si>
    <t>Шпатлевка потолка</t>
  </si>
  <si>
    <t>Шпатлевка базовая</t>
  </si>
  <si>
    <t>0.1.4.5.3.1.5.1.1</t>
  </si>
  <si>
    <t>Улучшенная окраска потолков  водоэмульсионными составами с грунтовкой поверхности</t>
  </si>
  <si>
    <t>Краска интерьерная, цвет RAL 9010 
(уточняется проектом)</t>
  </si>
  <si>
    <t>Краска интерьерная, цвет RAL 3003 
(уточняется проектом)</t>
  </si>
  <si>
    <t>Краска интерьерная, цвет RAL 7004 
(уточняется проектом)</t>
  </si>
  <si>
    <t>Краска интерьерная, цвет RAL 7021 
(уточняется проектом)</t>
  </si>
  <si>
    <t>за реечным потолком, с заведением на 420 мм</t>
  </si>
  <si>
    <t>Отделка стен мест общего пользования (МОП)</t>
  </si>
  <si>
    <t>0.1.4.5.3.2</t>
  </si>
  <si>
    <t>с заведением на 50 мм в межквартирных коридорах</t>
  </si>
  <si>
    <t>Устройство полов мест общего пользования (МОП)</t>
  </si>
  <si>
    <t>0.1.4.5.3.3</t>
  </si>
  <si>
    <t>Устройство покрытий из керамогранита (ЛК), в т.ч. лестница в подвал</t>
  </si>
  <si>
    <t>Облицовка подступенков керамогранитом, в т.ч. лестница в подвал</t>
  </si>
  <si>
    <t>Облицовка ступеней керамогранитом, в т.ч. лестница в подвал</t>
  </si>
  <si>
    <t>МОП 2-11 этаж</t>
  </si>
  <si>
    <t>Краска интерьерная, цвет RAL 9010
(уточняется проектом)</t>
  </si>
  <si>
    <t>МОП 12 этаж</t>
  </si>
  <si>
    <t>Рейка HIMMEL RC 30х50 мм, шаг 65 мм цвет RAL 9010</t>
  </si>
  <si>
    <t>за реечным потолком, с заведением на 200 мм</t>
  </si>
  <si>
    <t>Краска интерьерная, цвет RAL 7004
(уточняется проектом)</t>
  </si>
  <si>
    <t>за реечным потолком, с заведением на 440 мм</t>
  </si>
  <si>
    <t>МОП 2-16 этаж</t>
  </si>
  <si>
    <t>МОП 17 этаж</t>
  </si>
  <si>
    <t>за реечным потолком, с заведением на 320 мм</t>
  </si>
  <si>
    <t>за реечным потолком, с заведением на 500 мм</t>
  </si>
  <si>
    <t>МОП 2-13 этаж</t>
  </si>
  <si>
    <t>МОП 14 этаж</t>
  </si>
  <si>
    <t>Краска интерьерная, цвет RAL 7005
(уточняется проектом)</t>
  </si>
  <si>
    <t>Декоративная штукатурка, цвет RAL 9010
(уточняется проектом)</t>
  </si>
  <si>
    <t>Декоративная штукатурка, цвет RAL 3003
(уточняется проектом)</t>
  </si>
  <si>
    <t>Декоративная штукатурка, цвет RAL 7004
(уточняется проектом)</t>
  </si>
  <si>
    <t>Облицовка внутренних стен керамогранитами плитами с затиркой швов, в т.ч обрамление лифтового портала</t>
  </si>
  <si>
    <t>Общая стоимость работ</t>
  </si>
  <si>
    <t>в т.ч. НДС 22%</t>
  </si>
  <si>
    <t>Номер п/п</t>
  </si>
  <si>
    <t>Цена, руб. в т.ч. НДС</t>
  </si>
  <si>
    <t>Цена, руб. в т.ч.  НДС</t>
  </si>
  <si>
    <t>Стоимость, руб. в т.ч. НДС</t>
  </si>
  <si>
    <t>Общая стоимость,
руб. в т.ч. НДС</t>
  </si>
  <si>
    <t>Квалификационная и контактная информация</t>
  </si>
  <si>
    <t>Наличие авансирования</t>
  </si>
  <si>
    <t>Готовность приступить к работе по уведомлению</t>
  </si>
  <si>
    <t>Срок исполнения предмета тендера</t>
  </si>
  <si>
    <t>Информация о посещении объекта (были/не были), вопросы по результатам посещения</t>
  </si>
  <si>
    <t>Готовность подписать договор в редакции Заказчика</t>
  </si>
  <si>
    <t>Наличие СРО</t>
  </si>
  <si>
    <t>Опыт работы</t>
  </si>
  <si>
    <t>Дата регистрации компании</t>
  </si>
  <si>
    <t>e-mail</t>
  </si>
  <si>
    <t>Генеральный директор : Ф.И.О. полностью, тел., e-mail</t>
  </si>
  <si>
    <t>Контактное лицо: Ф.И.О. полностью, тел., e-mail</t>
  </si>
  <si>
    <t>___________________________________ /_____________/</t>
  </si>
  <si>
    <t xml:space="preserve">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
Замену отразить в поле примечание ниже. </t>
  </si>
  <si>
    <r>
      <rPr>
        <b/>
        <sz val="10"/>
        <rFont val="Times New Roman"/>
        <family val="1"/>
        <charset val="204"/>
      </rPr>
      <t xml:space="preserve">Примечание: </t>
    </r>
    <r>
      <rPr>
        <sz val="10"/>
        <rFont val="Times New Roman"/>
        <family val="1"/>
        <charset val="204"/>
      </rPr>
      <t xml:space="preserve"> 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Замену отразить в примечании 2. 
*Стоимость включает все виды и объемы работ, предусмотренные проектной документацией и техническим заданием, необходимые для выполнения полного комплекса работ, в том числе: стоимость материалов, стоимость изготовления конструкций, доставку, разгрузку и складирование материалов, разнос изделий по этажам или перемещение в пределах строительной площадки, монтаж с использованием необходимого оборудования, окраску в два слоя, защиту пола и стен в местах прохода на время производства работ, накладные расходы, сметную прибыль, НДС, обслуживание электрооборудования и подключение электроприборов, уборку и вывоз строительного мусора с объекта в период производства работ. Все вспомогательные и расходные материалы, в том числе крепления , учтены в стоимости СМР. </t>
    </r>
    <r>
      <rPr>
        <b/>
        <sz val="10"/>
        <rFont val="Times New Roman"/>
        <family val="1"/>
        <charset val="204"/>
      </rPr>
      <t>Если предоставленная ВДЦ не учитывает какой-либо материал или вид СМР для выполнения полного комплекса работ, эти затраты должны быть учтены Подрядной организацией в предоставленном коммерческом предложении.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</si>
</sst>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\ ##0.00"/>
  </numFmts>
  <fonts count="23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sz val="10"/>
      <color rgb="FF000000"/>
      <name val="Arial Cyr"/>
    </font>
    <font>
      <sz val="11"/>
      <color indexed="64"/>
      <name val="Calibri"/>
      <family val="2"/>
      <charset val="204"/>
    </font>
    <font>
      <b/>
      <sz val="16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name val="Arial Cyr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7E2EF"/>
        <bgColor indexed="64"/>
      </patternFill>
    </fill>
    <fill>
      <patternFill patternType="solid">
        <fgColor rgb="FF4274B0"/>
        <bgColor indexed="64"/>
      </patternFill>
    </fill>
    <fill>
      <patternFill patternType="solid">
        <fgColor rgb="FF5B89C1"/>
        <bgColor indexed="64"/>
      </patternFill>
    </fill>
    <fill>
      <patternFill patternType="solid">
        <fgColor rgb="FFD4D3D4"/>
        <bgColor rgb="FFD7E2EF"/>
      </patternFill>
    </fill>
    <fill>
      <patternFill patternType="solid">
        <fgColor rgb="FFFFFF00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1">
    <xf numFmtId="0" fontId="0" fillId="0" borderId="0"/>
    <xf numFmtId="0" fontId="3" fillId="0" borderId="0"/>
    <xf numFmtId="43" fontId="3" fillId="0" borderId="0" applyFont="0" applyFill="0" applyBorder="0" applyProtection="0"/>
    <xf numFmtId="43" fontId="5" fillId="0" borderId="0" applyFont="0" applyFill="0" applyBorder="0" applyAlignment="0" applyProtection="0"/>
    <xf numFmtId="0" fontId="3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1" fillId="0" borderId="0"/>
    <xf numFmtId="43" fontId="3" fillId="0" borderId="0" applyFont="0" applyFill="0" applyBorder="0" applyProtection="0"/>
    <xf numFmtId="43" fontId="1" fillId="0" borderId="0" applyFont="0" applyFill="0" applyBorder="0" applyAlignment="0" applyProtection="0"/>
    <xf numFmtId="0" fontId="16" fillId="0" borderId="0"/>
    <xf numFmtId="0" fontId="1" fillId="0" borderId="0"/>
    <xf numFmtId="0" fontId="17" fillId="0" borderId="0"/>
    <xf numFmtId="0" fontId="17" fillId="0" borderId="0"/>
    <xf numFmtId="43" fontId="1" fillId="0" borderId="0" applyFont="0" applyFill="0" applyBorder="0" applyProtection="0"/>
    <xf numFmtId="43" fontId="3" fillId="0" borderId="0" applyFont="0" applyFill="0" applyBorder="0" applyProtection="0"/>
    <xf numFmtId="43" fontId="3" fillId="0" borderId="0" applyFont="0" applyFill="0" applyBorder="0" applyProtection="0"/>
    <xf numFmtId="43" fontId="1" fillId="0" borderId="0" applyFont="0" applyFill="0" applyBorder="0" applyAlignment="0" applyProtection="0"/>
    <xf numFmtId="0" fontId="1" fillId="0" borderId="0"/>
  </cellStyleXfs>
  <cellXfs count="391">
    <xf numFmtId="0" fontId="0" fillId="0" borderId="0" xfId="0"/>
    <xf numFmtId="4" fontId="4" fillId="0" borderId="0" xfId="1" applyNumberFormat="1" applyFont="1" applyAlignment="1" applyProtection="1">
      <alignment vertical="center"/>
    </xf>
    <xf numFmtId="4" fontId="9" fillId="4" borderId="4" xfId="2" applyNumberFormat="1" applyFont="1" applyFill="1" applyBorder="1" applyAlignment="1" applyProtection="1">
      <alignment horizontal="center" vertical="center" wrapText="1"/>
      <protection locked="0"/>
    </xf>
    <xf numFmtId="4" fontId="8" fillId="0" borderId="4" xfId="2" applyNumberFormat="1" applyFont="1" applyFill="1" applyBorder="1" applyAlignment="1" applyProtection="1">
      <alignment horizontal="center" vertical="center" wrapText="1"/>
      <protection locked="0"/>
    </xf>
    <xf numFmtId="4" fontId="9" fillId="4" borderId="1" xfId="2" applyNumberFormat="1" applyFont="1" applyFill="1" applyBorder="1" applyAlignment="1" applyProtection="1">
      <alignment horizontal="right" vertical="center"/>
      <protection locked="0"/>
    </xf>
    <xf numFmtId="4" fontId="9" fillId="4" borderId="1" xfId="5" applyNumberFormat="1" applyFont="1" applyFill="1" applyBorder="1" applyAlignment="1" applyProtection="1">
      <alignment horizontal="center" vertical="center" wrapText="1"/>
    </xf>
    <xf numFmtId="4" fontId="9" fillId="4" borderId="1" xfId="5" applyNumberFormat="1" applyFont="1" applyFill="1" applyBorder="1" applyAlignment="1" applyProtection="1">
      <alignment horizontal="center" vertical="center"/>
    </xf>
    <xf numFmtId="4" fontId="9" fillId="4" borderId="5" xfId="1" applyNumberFormat="1" applyFont="1" applyFill="1" applyBorder="1" applyAlignment="1" applyProtection="1">
      <alignment horizontal="center" vertical="center" wrapText="1"/>
    </xf>
    <xf numFmtId="4" fontId="9" fillId="4" borderId="1" xfId="0" applyNumberFormat="1" applyFont="1" applyFill="1" applyBorder="1" applyAlignment="1" applyProtection="1">
      <alignment horizontal="left" vertical="center" wrapText="1"/>
    </xf>
    <xf numFmtId="4" fontId="8" fillId="0" borderId="6" xfId="3" applyNumberFormat="1" applyFont="1" applyFill="1" applyBorder="1" applyAlignment="1" applyProtection="1">
      <alignment horizontal="center" vertical="center" wrapText="1"/>
    </xf>
    <xf numFmtId="4" fontId="4" fillId="0" borderId="0" xfId="1" applyNumberFormat="1" applyFont="1" applyAlignment="1" applyProtection="1">
      <alignment horizontal="center" vertical="center"/>
    </xf>
    <xf numFmtId="4" fontId="4" fillId="0" borderId="0" xfId="1" applyNumberFormat="1" applyFont="1" applyAlignment="1" applyProtection="1">
      <alignment vertical="center" wrapText="1"/>
    </xf>
    <xf numFmtId="4" fontId="4" fillId="0" borderId="0" xfId="1" applyNumberFormat="1" applyFont="1" applyAlignment="1" applyProtection="1">
      <alignment horizontal="right" vertical="center"/>
    </xf>
    <xf numFmtId="49" fontId="10" fillId="0" borderId="0" xfId="0" applyNumberFormat="1" applyFont="1" applyFill="1" applyAlignment="1" applyProtection="1">
      <alignment horizontal="center" vertical="center" wrapText="1"/>
    </xf>
    <xf numFmtId="49" fontId="9" fillId="4" borderId="1" xfId="1" applyNumberFormat="1" applyFont="1" applyFill="1" applyBorder="1" applyAlignment="1" applyProtection="1">
      <alignment horizontal="center" vertical="center"/>
    </xf>
    <xf numFmtId="49" fontId="8" fillId="0" borderId="1" xfId="1" applyNumberFormat="1" applyFont="1" applyFill="1" applyBorder="1" applyAlignment="1" applyProtection="1">
      <alignment horizontal="center" vertical="center"/>
    </xf>
    <xf numFmtId="49" fontId="4" fillId="0" borderId="0" xfId="1" applyNumberFormat="1" applyFont="1" applyAlignment="1" applyProtection="1">
      <alignment vertical="center"/>
    </xf>
    <xf numFmtId="49" fontId="4" fillId="0" borderId="0" xfId="1" applyNumberFormat="1" applyFont="1" applyAlignment="1" applyProtection="1">
      <alignment horizontal="center" vertical="center"/>
    </xf>
    <xf numFmtId="4" fontId="9" fillId="4" borderId="6" xfId="3" applyNumberFormat="1" applyFont="1" applyFill="1" applyBorder="1" applyAlignment="1" applyProtection="1">
      <alignment horizontal="center" vertical="center" wrapText="1"/>
    </xf>
    <xf numFmtId="4" fontId="4" fillId="0" borderId="0" xfId="0" applyNumberFormat="1" applyFont="1" applyAlignment="1" applyProtection="1">
      <alignment vertical="center"/>
    </xf>
    <xf numFmtId="4" fontId="8" fillId="0" borderId="0" xfId="0" applyNumberFormat="1" applyFont="1" applyAlignment="1" applyProtection="1">
      <alignment vertical="center"/>
    </xf>
    <xf numFmtId="4" fontId="9" fillId="4" borderId="1" xfId="2" applyNumberFormat="1" applyFont="1" applyFill="1" applyBorder="1" applyAlignment="1" applyProtection="1">
      <alignment horizontal="center" vertical="center" wrapText="1"/>
    </xf>
    <xf numFmtId="4" fontId="9" fillId="4" borderId="2" xfId="2" applyNumberFormat="1" applyFont="1" applyFill="1" applyBorder="1" applyAlignment="1" applyProtection="1">
      <alignment horizontal="center" vertical="center" wrapText="1"/>
    </xf>
    <xf numFmtId="4" fontId="9" fillId="0" borderId="0" xfId="0" applyNumberFormat="1" applyFont="1" applyAlignment="1" applyProtection="1">
      <alignment vertical="center"/>
    </xf>
    <xf numFmtId="4" fontId="8" fillId="0" borderId="1" xfId="2" applyNumberFormat="1" applyFont="1" applyFill="1" applyBorder="1" applyAlignment="1" applyProtection="1">
      <alignment horizontal="right" vertical="center"/>
      <protection locked="0"/>
    </xf>
    <xf numFmtId="4" fontId="8" fillId="0" borderId="1" xfId="2" applyNumberFormat="1" applyFont="1" applyFill="1" applyBorder="1" applyAlignment="1" applyProtection="1">
      <alignment horizontal="center" vertical="center" wrapText="1"/>
    </xf>
    <xf numFmtId="4" fontId="8" fillId="0" borderId="2" xfId="2" applyNumberFormat="1" applyFont="1" applyFill="1" applyBorder="1" applyAlignment="1" applyProtection="1">
      <alignment horizontal="center" vertical="center" wrapText="1"/>
    </xf>
    <xf numFmtId="4" fontId="8" fillId="0" borderId="0" xfId="0" applyNumberFormat="1" applyFont="1" applyFill="1" applyAlignment="1" applyProtection="1">
      <alignment vertical="center"/>
    </xf>
    <xf numFmtId="4" fontId="9" fillId="3" borderId="1" xfId="2" applyNumberFormat="1" applyFont="1" applyFill="1" applyBorder="1" applyAlignment="1" applyProtection="1">
      <alignment horizontal="right" vertical="center" wrapText="1"/>
    </xf>
    <xf numFmtId="4" fontId="19" fillId="2" borderId="0" xfId="0" applyNumberFormat="1" applyFont="1" applyFill="1" applyAlignment="1" applyProtection="1">
      <alignment vertical="center"/>
    </xf>
    <xf numFmtId="4" fontId="8" fillId="0" borderId="4" xfId="2" applyNumberFormat="1" applyFont="1" applyFill="1" applyBorder="1" applyAlignment="1" applyProtection="1">
      <alignment horizontal="right" vertical="center"/>
      <protection locked="0"/>
    </xf>
    <xf numFmtId="49" fontId="8" fillId="0" borderId="19" xfId="1" applyNumberFormat="1" applyFont="1" applyBorder="1" applyAlignment="1" applyProtection="1">
      <alignment horizontal="center" vertical="center" wrapText="1"/>
    </xf>
    <xf numFmtId="49" fontId="8" fillId="0" borderId="8" xfId="1" applyNumberFormat="1" applyFont="1" applyBorder="1" applyAlignment="1" applyProtection="1">
      <alignment horizontal="center" vertical="center" wrapText="1"/>
    </xf>
    <xf numFmtId="49" fontId="8" fillId="0" borderId="20" xfId="1" applyNumberFormat="1" applyFont="1" applyBorder="1" applyAlignment="1" applyProtection="1">
      <alignment horizontal="center" vertical="center" wrapText="1"/>
    </xf>
    <xf numFmtId="49" fontId="8" fillId="0" borderId="21" xfId="1" applyNumberFormat="1" applyFont="1" applyBorder="1" applyAlignment="1" applyProtection="1">
      <alignment horizontal="center" vertical="center" wrapText="1"/>
    </xf>
    <xf numFmtId="49" fontId="8" fillId="0" borderId="12" xfId="1" applyNumberFormat="1" applyFont="1" applyBorder="1" applyAlignment="1" applyProtection="1">
      <alignment horizontal="center" vertical="center" wrapText="1"/>
    </xf>
    <xf numFmtId="4" fontId="9" fillId="3" borderId="1" xfId="3" applyNumberFormat="1" applyFont="1" applyFill="1" applyBorder="1" applyAlignment="1" applyProtection="1">
      <alignment horizontal="right" vertical="center" wrapText="1"/>
    </xf>
    <xf numFmtId="4" fontId="9" fillId="3" borderId="1" xfId="2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1" applyNumberFormat="1" applyFont="1" applyFill="1" applyBorder="1" applyAlignment="1" applyProtection="1">
      <alignment horizontal="center" vertical="center" wrapText="1"/>
    </xf>
    <xf numFmtId="4" fontId="8" fillId="3" borderId="4" xfId="2" applyNumberFormat="1" applyFont="1" applyFill="1" applyBorder="1" applyAlignment="1" applyProtection="1">
      <alignment horizontal="center" vertical="center" wrapText="1"/>
      <protection locked="0"/>
    </xf>
    <xf numFmtId="4" fontId="9" fillId="3" borderId="2" xfId="2" applyNumberFormat="1" applyFont="1" applyFill="1" applyBorder="1" applyAlignment="1" applyProtection="1">
      <alignment horizontal="right" vertical="center" wrapText="1"/>
    </xf>
    <xf numFmtId="49" fontId="8" fillId="0" borderId="23" xfId="1" applyNumberFormat="1" applyFont="1" applyFill="1" applyBorder="1" applyAlignment="1" applyProtection="1">
      <alignment horizontal="center" vertical="center" wrapText="1"/>
    </xf>
    <xf numFmtId="49" fontId="8" fillId="0" borderId="23" xfId="1" applyNumberFormat="1" applyFont="1" applyFill="1" applyBorder="1" applyAlignment="1" applyProtection="1">
      <alignment horizontal="center" vertical="center"/>
    </xf>
    <xf numFmtId="49" fontId="9" fillId="4" borderId="23" xfId="1" applyNumberFormat="1" applyFont="1" applyFill="1" applyBorder="1" applyAlignment="1" applyProtection="1">
      <alignment horizontal="center" vertical="center"/>
    </xf>
    <xf numFmtId="4" fontId="9" fillId="0" borderId="0" xfId="0" applyNumberFormat="1" applyFont="1" applyAlignment="1" applyProtection="1">
      <alignment vertical="center" wrapText="1"/>
    </xf>
    <xf numFmtId="4" fontId="9" fillId="5" borderId="1" xfId="3" applyNumberFormat="1" applyFont="1" applyFill="1" applyBorder="1" applyAlignment="1" applyProtection="1">
      <alignment horizontal="right" vertical="center" wrapText="1"/>
    </xf>
    <xf numFmtId="4" fontId="9" fillId="5" borderId="1" xfId="2" applyNumberFormat="1" applyFont="1" applyFill="1" applyBorder="1" applyAlignment="1" applyProtection="1">
      <alignment horizontal="right" vertical="center" wrapText="1"/>
    </xf>
    <xf numFmtId="4" fontId="9" fillId="5" borderId="2" xfId="2" applyNumberFormat="1" applyFont="1" applyFill="1" applyBorder="1" applyAlignment="1" applyProtection="1">
      <alignment horizontal="right" vertical="center" wrapText="1"/>
    </xf>
    <xf numFmtId="4" fontId="9" fillId="6" borderId="1" xfId="3" applyNumberFormat="1" applyFont="1" applyFill="1" applyBorder="1" applyAlignment="1" applyProtection="1">
      <alignment horizontal="right" vertical="center" wrapText="1"/>
    </xf>
    <xf numFmtId="4" fontId="8" fillId="6" borderId="4" xfId="2" applyNumberFormat="1" applyFont="1" applyFill="1" applyBorder="1" applyAlignment="1" applyProtection="1">
      <alignment horizontal="center" vertical="center" wrapText="1"/>
      <protection locked="0"/>
    </xf>
    <xf numFmtId="4" fontId="9" fillId="6" borderId="1" xfId="2" applyNumberFormat="1" applyFont="1" applyFill="1" applyBorder="1" applyAlignment="1" applyProtection="1">
      <alignment horizontal="center" vertical="center" wrapText="1"/>
      <protection locked="0"/>
    </xf>
    <xf numFmtId="4" fontId="9" fillId="6" borderId="1" xfId="2" applyNumberFormat="1" applyFont="1" applyFill="1" applyBorder="1" applyAlignment="1" applyProtection="1">
      <alignment horizontal="right" vertical="center" wrapText="1"/>
    </xf>
    <xf numFmtId="4" fontId="9" fillId="6" borderId="2" xfId="2" applyNumberFormat="1" applyFont="1" applyFill="1" applyBorder="1" applyAlignment="1" applyProtection="1">
      <alignment horizontal="right" vertical="center" wrapText="1"/>
    </xf>
    <xf numFmtId="4" fontId="9" fillId="0" borderId="1" xfId="2" applyNumberFormat="1" applyFont="1" applyFill="1" applyBorder="1" applyAlignment="1" applyProtection="1">
      <alignment horizontal="center" vertical="center" wrapText="1"/>
      <protection locked="0"/>
    </xf>
    <xf numFmtId="4" fontId="9" fillId="4" borderId="1" xfId="5" applyNumberFormat="1" applyFont="1" applyFill="1" applyBorder="1" applyAlignment="1" applyProtection="1">
      <alignment horizontal="left" vertical="center" wrapText="1"/>
    </xf>
    <xf numFmtId="4" fontId="9" fillId="4" borderId="1" xfId="5" applyNumberFormat="1" applyFont="1" applyFill="1" applyBorder="1" applyAlignment="1" applyProtection="1">
      <alignment vertical="center" wrapText="1"/>
    </xf>
    <xf numFmtId="49" fontId="20" fillId="3" borderId="27" xfId="3" applyNumberFormat="1" applyFont="1" applyFill="1" applyBorder="1" applyAlignment="1" applyProtection="1">
      <alignment horizontal="center" vertical="center" wrapText="1"/>
    </xf>
    <xf numFmtId="49" fontId="20" fillId="3" borderId="28" xfId="3" applyNumberFormat="1" applyFont="1" applyFill="1" applyBorder="1" applyAlignment="1" applyProtection="1">
      <alignment horizontal="center" vertical="center" wrapText="1"/>
    </xf>
    <xf numFmtId="43" fontId="20" fillId="3" borderId="28" xfId="16" applyFont="1" applyFill="1" applyBorder="1" applyAlignment="1" applyProtection="1">
      <alignment horizontal="center" vertical="center" wrapText="1"/>
    </xf>
    <xf numFmtId="4" fontId="20" fillId="3" borderId="28" xfId="3" applyNumberFormat="1" applyFont="1" applyFill="1" applyBorder="1" applyAlignment="1" applyProtection="1">
      <alignment horizontal="center" vertical="center" wrapText="1"/>
    </xf>
    <xf numFmtId="4" fontId="20" fillId="3" borderId="29" xfId="3" applyNumberFormat="1" applyFont="1" applyFill="1" applyBorder="1" applyAlignment="1" applyProtection="1">
      <alignment horizontal="center" vertical="center" wrapText="1"/>
    </xf>
    <xf numFmtId="49" fontId="14" fillId="3" borderId="30" xfId="1" applyNumberFormat="1" applyFont="1" applyFill="1" applyBorder="1" applyAlignment="1" applyProtection="1">
      <alignment horizontal="center" vertical="center"/>
    </xf>
    <xf numFmtId="49" fontId="14" fillId="3" borderId="26" xfId="1" applyNumberFormat="1" applyFont="1" applyFill="1" applyBorder="1" applyAlignment="1" applyProtection="1">
      <alignment vertical="center"/>
    </xf>
    <xf numFmtId="43" fontId="20" fillId="3" borderId="26" xfId="16" applyFont="1" applyFill="1" applyBorder="1" applyAlignment="1" applyProtection="1">
      <alignment horizontal="center" vertical="center" wrapText="1"/>
    </xf>
    <xf numFmtId="4" fontId="14" fillId="3" borderId="26" xfId="1" applyNumberFormat="1" applyFont="1" applyFill="1" applyBorder="1" applyAlignment="1" applyProtection="1">
      <alignment horizontal="center" vertical="center"/>
    </xf>
    <xf numFmtId="4" fontId="14" fillId="3" borderId="26" xfId="1" applyNumberFormat="1" applyFont="1" applyFill="1" applyBorder="1" applyAlignment="1" applyProtection="1">
      <alignment vertical="center"/>
    </xf>
    <xf numFmtId="4" fontId="14" fillId="3" borderId="26" xfId="1" applyNumberFormat="1" applyFont="1" applyFill="1" applyBorder="1" applyAlignment="1" applyProtection="1">
      <alignment horizontal="right" vertical="center"/>
    </xf>
    <xf numFmtId="4" fontId="8" fillId="2" borderId="0" xfId="0" applyNumberFormat="1" applyFont="1" applyFill="1" applyAlignment="1" applyProtection="1">
      <alignment vertical="center"/>
    </xf>
    <xf numFmtId="4" fontId="9" fillId="0" borderId="0" xfId="0" applyNumberFormat="1" applyFont="1" applyFill="1" applyAlignment="1" applyProtection="1">
      <alignment vertical="center"/>
    </xf>
    <xf numFmtId="4" fontId="8" fillId="0" borderId="1" xfId="2" applyNumberFormat="1" applyFont="1" applyFill="1" applyBorder="1" applyAlignment="1" applyProtection="1">
      <alignment horizontal="center" vertical="center" wrapText="1"/>
      <protection locked="0"/>
    </xf>
    <xf numFmtId="4" fontId="4" fillId="0" borderId="0" xfId="0" applyNumberFormat="1" applyFont="1" applyFill="1" applyAlignment="1" applyProtection="1">
      <alignment vertical="center"/>
    </xf>
    <xf numFmtId="4" fontId="9" fillId="0" borderId="0" xfId="0" applyNumberFormat="1" applyFont="1" applyFill="1" applyAlignment="1" applyProtection="1">
      <alignment vertical="center" wrapText="1"/>
    </xf>
    <xf numFmtId="4" fontId="20" fillId="3" borderId="31" xfId="1" applyNumberFormat="1" applyFont="1" applyFill="1" applyBorder="1" applyAlignment="1" applyProtection="1">
      <alignment horizontal="center" vertical="center"/>
    </xf>
    <xf numFmtId="4" fontId="10" fillId="0" borderId="0" xfId="0" applyNumberFormat="1" applyFont="1" applyFill="1" applyAlignment="1" applyProtection="1">
      <alignment horizontal="center" vertical="center" wrapText="1"/>
    </xf>
    <xf numFmtId="4" fontId="10" fillId="0" borderId="0" xfId="0" applyNumberFormat="1" applyFont="1" applyFill="1" applyAlignment="1" applyProtection="1">
      <alignment horizontal="center" vertical="center" wrapText="1"/>
    </xf>
    <xf numFmtId="4" fontId="12" fillId="0" borderId="0" xfId="0" applyNumberFormat="1" applyFont="1" applyFill="1" applyAlignment="1" applyProtection="1">
      <alignment horizontal="center" vertical="center" wrapText="1"/>
    </xf>
    <xf numFmtId="2" fontId="8" fillId="0" borderId="0" xfId="0" applyNumberFormat="1" applyFont="1" applyProtection="1"/>
    <xf numFmtId="2" fontId="4" fillId="0" borderId="0" xfId="0" applyNumberFormat="1" applyFont="1" applyAlignment="1" applyProtection="1">
      <alignment vertical="center"/>
    </xf>
    <xf numFmtId="2" fontId="8" fillId="0" borderId="0" xfId="0" applyNumberFormat="1" applyFont="1" applyFill="1" applyProtection="1"/>
    <xf numFmtId="2" fontId="13" fillId="0" borderId="0" xfId="0" applyNumberFormat="1" applyFont="1" applyFill="1" applyProtection="1"/>
    <xf numFmtId="2" fontId="12" fillId="0" borderId="0" xfId="3" applyNumberFormat="1" applyFont="1" applyFill="1" applyAlignment="1" applyProtection="1">
      <alignment horizontal="right" vertical="center"/>
    </xf>
    <xf numFmtId="2" fontId="18" fillId="0" borderId="0" xfId="0" applyNumberFormat="1" applyFont="1" applyAlignment="1" applyProtection="1">
      <alignment horizontal="center" vertical="center" wrapText="1"/>
    </xf>
    <xf numFmtId="2" fontId="15" fillId="0" borderId="0" xfId="0" applyNumberFormat="1" applyFont="1" applyAlignment="1" applyProtection="1">
      <alignment vertical="center"/>
    </xf>
    <xf numFmtId="2" fontId="0" fillId="0" borderId="0" xfId="0" applyNumberFormat="1" applyProtection="1"/>
    <xf numFmtId="2" fontId="10" fillId="0" borderId="0" xfId="0" applyNumberFormat="1" applyFont="1" applyFill="1" applyAlignment="1" applyProtection="1">
      <alignment horizontal="center" vertical="center" wrapText="1"/>
    </xf>
    <xf numFmtId="2" fontId="12" fillId="0" borderId="0" xfId="0" applyNumberFormat="1" applyFont="1" applyFill="1" applyAlignment="1" applyProtection="1">
      <alignment horizontal="center" vertical="center" wrapText="1"/>
    </xf>
    <xf numFmtId="2" fontId="10" fillId="0" borderId="0" xfId="0" applyNumberFormat="1" applyFont="1" applyFill="1" applyAlignment="1" applyProtection="1">
      <alignment horizontal="center" vertical="center" wrapText="1"/>
    </xf>
    <xf numFmtId="2" fontId="9" fillId="0" borderId="16" xfId="0" applyNumberFormat="1" applyFont="1" applyBorder="1" applyAlignment="1" applyProtection="1">
      <alignment horizontal="center" vertical="center" wrapText="1"/>
    </xf>
    <xf numFmtId="2" fontId="9" fillId="0" borderId="14" xfId="0" applyNumberFormat="1" applyFont="1" applyBorder="1" applyAlignment="1" applyProtection="1">
      <alignment horizontal="center" vertical="center" wrapText="1"/>
    </xf>
    <xf numFmtId="2" fontId="9" fillId="2" borderId="8" xfId="0" applyNumberFormat="1" applyFont="1" applyFill="1" applyBorder="1" applyAlignment="1" applyProtection="1">
      <alignment horizontal="center" vertical="center" wrapText="1"/>
    </xf>
    <xf numFmtId="2" fontId="9" fillId="2" borderId="20" xfId="0" applyNumberFormat="1" applyFont="1" applyFill="1" applyBorder="1" applyAlignment="1" applyProtection="1">
      <alignment horizontal="center" vertical="center" wrapText="1"/>
    </xf>
    <xf numFmtId="2" fontId="9" fillId="2" borderId="12" xfId="0" applyNumberFormat="1" applyFont="1" applyFill="1" applyBorder="1" applyAlignment="1" applyProtection="1">
      <alignment horizontal="center" vertical="center" wrapText="1"/>
    </xf>
    <xf numFmtId="2" fontId="9" fillId="0" borderId="17" xfId="0" applyNumberFormat="1" applyFont="1" applyBorder="1" applyAlignment="1" applyProtection="1">
      <alignment horizontal="center" vertical="center" wrapText="1"/>
    </xf>
    <xf numFmtId="2" fontId="9" fillId="0" borderId="32" xfId="0" applyNumberFormat="1" applyFont="1" applyBorder="1" applyAlignment="1" applyProtection="1">
      <alignment horizontal="center" vertical="center" wrapText="1"/>
    </xf>
    <xf numFmtId="2" fontId="9" fillId="0" borderId="33" xfId="0" applyNumberFormat="1" applyFont="1" applyBorder="1" applyAlignment="1" applyProtection="1">
      <alignment horizontal="center" vertical="center" wrapText="1"/>
    </xf>
    <xf numFmtId="2" fontId="9" fillId="0" borderId="7" xfId="0" applyNumberFormat="1" applyFont="1" applyBorder="1" applyAlignment="1" applyProtection="1">
      <alignment horizontal="center" vertical="center" wrapText="1"/>
    </xf>
    <xf numFmtId="2" fontId="9" fillId="0" borderId="15" xfId="0" applyNumberFormat="1" applyFont="1" applyBorder="1" applyAlignment="1" applyProtection="1">
      <alignment horizontal="center" vertical="center" wrapText="1"/>
    </xf>
    <xf numFmtId="2" fontId="9" fillId="2" borderId="3" xfId="0" applyNumberFormat="1" applyFont="1" applyFill="1" applyBorder="1" applyAlignment="1" applyProtection="1">
      <alignment horizontal="center" vertical="center" wrapText="1"/>
    </xf>
    <xf numFmtId="2" fontId="9" fillId="2" borderId="22" xfId="0" applyNumberFormat="1" applyFont="1" applyFill="1" applyBorder="1" applyAlignment="1" applyProtection="1">
      <alignment horizontal="center" vertical="center" wrapText="1"/>
    </xf>
    <xf numFmtId="2" fontId="9" fillId="2" borderId="13" xfId="0" applyNumberFormat="1" applyFont="1" applyFill="1" applyBorder="1" applyAlignment="1" applyProtection="1">
      <alignment horizontal="center" vertical="center" wrapText="1"/>
    </xf>
    <xf numFmtId="2" fontId="9" fillId="0" borderId="34" xfId="0" applyNumberFormat="1" applyFont="1" applyBorder="1" applyAlignment="1" applyProtection="1">
      <alignment horizontal="center" vertical="center" wrapText="1"/>
    </xf>
    <xf numFmtId="2" fontId="9" fillId="0" borderId="35" xfId="0" applyNumberFormat="1" applyFont="1" applyBorder="1" applyAlignment="1" applyProtection="1">
      <alignment horizontal="center" vertical="center" wrapText="1"/>
    </xf>
    <xf numFmtId="2" fontId="9" fillId="0" borderId="35" xfId="0" applyNumberFormat="1" applyFont="1" applyBorder="1" applyAlignment="1" applyProtection="1">
      <alignment horizontal="center" vertical="center" wrapText="1"/>
    </xf>
    <xf numFmtId="2" fontId="9" fillId="0" borderId="36" xfId="0" applyNumberFormat="1" applyFont="1" applyBorder="1" applyAlignment="1" applyProtection="1">
      <alignment horizontal="center" vertical="center" wrapText="1"/>
    </xf>
    <xf numFmtId="2" fontId="8" fillId="0" borderId="12" xfId="1" applyNumberFormat="1" applyFont="1" applyBorder="1" applyAlignment="1" applyProtection="1">
      <alignment horizontal="center" vertical="center" wrapText="1"/>
    </xf>
    <xf numFmtId="2" fontId="8" fillId="0" borderId="21" xfId="1" applyNumberFormat="1" applyFont="1" applyBorder="1" applyAlignment="1" applyProtection="1">
      <alignment horizontal="center" vertical="center" wrapText="1"/>
    </xf>
    <xf numFmtId="2" fontId="8" fillId="0" borderId="0" xfId="0" applyNumberFormat="1" applyFont="1" applyAlignment="1" applyProtection="1">
      <alignment vertical="center"/>
    </xf>
    <xf numFmtId="2" fontId="9" fillId="5" borderId="1" xfId="0" applyNumberFormat="1" applyFont="1" applyFill="1" applyBorder="1" applyAlignment="1" applyProtection="1">
      <alignment horizontal="center" vertical="center" wrapText="1"/>
    </xf>
    <xf numFmtId="2" fontId="9" fillId="5" borderId="1" xfId="0" applyNumberFormat="1" applyFont="1" applyFill="1" applyBorder="1" applyAlignment="1" applyProtection="1">
      <alignment horizontal="left" vertical="center" wrapText="1"/>
    </xf>
    <xf numFmtId="2" fontId="9" fillId="5" borderId="1" xfId="3" applyNumberFormat="1" applyFont="1" applyFill="1" applyBorder="1" applyAlignment="1" applyProtection="1">
      <alignment horizontal="right" vertical="center" wrapText="1"/>
    </xf>
    <xf numFmtId="2" fontId="9" fillId="5" borderId="1" xfId="1" applyNumberFormat="1" applyFont="1" applyFill="1" applyBorder="1" applyAlignment="1" applyProtection="1">
      <alignment horizontal="center" vertical="center" wrapText="1"/>
    </xf>
    <xf numFmtId="2" fontId="9" fillId="5" borderId="5" xfId="1" applyNumberFormat="1" applyFont="1" applyFill="1" applyBorder="1" applyAlignment="1" applyProtection="1">
      <alignment horizontal="center" vertical="center" wrapText="1"/>
    </xf>
    <xf numFmtId="2" fontId="9" fillId="5" borderId="6" xfId="1" applyNumberFormat="1" applyFont="1" applyFill="1" applyBorder="1" applyAlignment="1" applyProtection="1">
      <alignment horizontal="center" vertical="center" wrapText="1"/>
    </xf>
    <xf numFmtId="2" fontId="8" fillId="5" borderId="4" xfId="2" applyNumberFormat="1" applyFont="1" applyFill="1" applyBorder="1" applyAlignment="1" applyProtection="1">
      <alignment horizontal="center" vertical="center" wrapText="1"/>
    </xf>
    <xf numFmtId="2" fontId="9" fillId="5" borderId="1" xfId="2" applyNumberFormat="1" applyFont="1" applyFill="1" applyBorder="1" applyAlignment="1" applyProtection="1">
      <alignment horizontal="center" vertical="center" wrapText="1"/>
    </xf>
    <xf numFmtId="2" fontId="9" fillId="5" borderId="1" xfId="2" applyNumberFormat="1" applyFont="1" applyFill="1" applyBorder="1" applyAlignment="1" applyProtection="1">
      <alignment horizontal="right" vertical="center" wrapText="1"/>
    </xf>
    <xf numFmtId="2" fontId="9" fillId="5" borderId="2" xfId="2" applyNumberFormat="1" applyFont="1" applyFill="1" applyBorder="1" applyAlignment="1" applyProtection="1">
      <alignment horizontal="right" vertical="center" wrapText="1"/>
    </xf>
    <xf numFmtId="2" fontId="9" fillId="0" borderId="0" xfId="0" applyNumberFormat="1" applyFont="1" applyAlignment="1" applyProtection="1">
      <alignment vertical="center"/>
    </xf>
    <xf numFmtId="2" fontId="9" fillId="6" borderId="1" xfId="0" applyNumberFormat="1" applyFont="1" applyFill="1" applyBorder="1" applyAlignment="1" applyProtection="1">
      <alignment horizontal="center" vertical="center" wrapText="1"/>
    </xf>
    <xf numFmtId="2" fontId="9" fillId="6" borderId="1" xfId="0" applyNumberFormat="1" applyFont="1" applyFill="1" applyBorder="1" applyAlignment="1" applyProtection="1">
      <alignment horizontal="left" vertical="center" wrapText="1"/>
    </xf>
    <xf numFmtId="2" fontId="9" fillId="6" borderId="1" xfId="3" applyNumberFormat="1" applyFont="1" applyFill="1" applyBorder="1" applyAlignment="1" applyProtection="1">
      <alignment horizontal="right" vertical="center" wrapText="1"/>
    </xf>
    <xf numFmtId="2" fontId="9" fillId="6" borderId="1" xfId="1" applyNumberFormat="1" applyFont="1" applyFill="1" applyBorder="1" applyAlignment="1" applyProtection="1">
      <alignment horizontal="center" vertical="center" wrapText="1"/>
    </xf>
    <xf numFmtId="2" fontId="9" fillId="6" borderId="5" xfId="1" applyNumberFormat="1" applyFont="1" applyFill="1" applyBorder="1" applyAlignment="1" applyProtection="1">
      <alignment horizontal="center" vertical="center" wrapText="1"/>
    </xf>
    <xf numFmtId="2" fontId="9" fillId="6" borderId="6" xfId="1" applyNumberFormat="1" applyFont="1" applyFill="1" applyBorder="1" applyAlignment="1" applyProtection="1">
      <alignment horizontal="center" vertical="center" wrapText="1"/>
    </xf>
    <xf numFmtId="2" fontId="8" fillId="6" borderId="4" xfId="2" applyNumberFormat="1" applyFont="1" applyFill="1" applyBorder="1" applyAlignment="1" applyProtection="1">
      <alignment horizontal="center" vertical="center" wrapText="1"/>
    </xf>
    <xf numFmtId="2" fontId="9" fillId="6" borderId="1" xfId="2" applyNumberFormat="1" applyFont="1" applyFill="1" applyBorder="1" applyAlignment="1" applyProtection="1">
      <alignment horizontal="center" vertical="center" wrapText="1"/>
    </xf>
    <xf numFmtId="2" fontId="9" fillId="6" borderId="1" xfId="2" applyNumberFormat="1" applyFont="1" applyFill="1" applyBorder="1" applyAlignment="1" applyProtection="1">
      <alignment horizontal="right" vertical="center" wrapText="1"/>
    </xf>
    <xf numFmtId="2" fontId="9" fillId="6" borderId="2" xfId="2" applyNumberFormat="1" applyFont="1" applyFill="1" applyBorder="1" applyAlignment="1" applyProtection="1">
      <alignment horizontal="right" vertical="center" wrapText="1"/>
    </xf>
    <xf numFmtId="2" fontId="9" fillId="3" borderId="1" xfId="0" applyNumberFormat="1" applyFont="1" applyFill="1" applyBorder="1" applyAlignment="1" applyProtection="1">
      <alignment horizontal="center" vertical="center" wrapText="1"/>
    </xf>
    <xf numFmtId="2" fontId="9" fillId="3" borderId="1" xfId="0" applyNumberFormat="1" applyFont="1" applyFill="1" applyBorder="1" applyAlignment="1" applyProtection="1">
      <alignment horizontal="left" vertical="center" wrapText="1"/>
    </xf>
    <xf numFmtId="2" fontId="9" fillId="3" borderId="1" xfId="3" applyNumberFormat="1" applyFont="1" applyFill="1" applyBorder="1" applyAlignment="1" applyProtection="1">
      <alignment horizontal="right" vertical="center" wrapText="1"/>
    </xf>
    <xf numFmtId="2" fontId="9" fillId="3" borderId="1" xfId="1" applyNumberFormat="1" applyFont="1" applyFill="1" applyBorder="1" applyAlignment="1" applyProtection="1">
      <alignment horizontal="center" vertical="center" wrapText="1"/>
    </xf>
    <xf numFmtId="2" fontId="9" fillId="3" borderId="5" xfId="1" applyNumberFormat="1" applyFont="1" applyFill="1" applyBorder="1" applyAlignment="1" applyProtection="1">
      <alignment horizontal="center" vertical="center" wrapText="1"/>
    </xf>
    <xf numFmtId="2" fontId="9" fillId="3" borderId="6" xfId="1" applyNumberFormat="1" applyFont="1" applyFill="1" applyBorder="1" applyAlignment="1" applyProtection="1">
      <alignment horizontal="center" vertical="center" wrapText="1"/>
    </xf>
    <xf numFmtId="2" fontId="8" fillId="3" borderId="4" xfId="2" applyNumberFormat="1" applyFont="1" applyFill="1" applyBorder="1" applyAlignment="1" applyProtection="1">
      <alignment horizontal="center" vertical="center" wrapText="1"/>
    </xf>
    <xf numFmtId="2" fontId="9" fillId="3" borderId="1" xfId="2" applyNumberFormat="1" applyFont="1" applyFill="1" applyBorder="1" applyAlignment="1" applyProtection="1">
      <alignment horizontal="center" vertical="center" wrapText="1"/>
    </xf>
    <xf numFmtId="2" fontId="9" fillId="3" borderId="1" xfId="2" applyNumberFormat="1" applyFont="1" applyFill="1" applyBorder="1" applyAlignment="1" applyProtection="1">
      <alignment horizontal="right" vertical="center" wrapText="1"/>
    </xf>
    <xf numFmtId="2" fontId="9" fillId="3" borderId="2" xfId="2" applyNumberFormat="1" applyFont="1" applyFill="1" applyBorder="1" applyAlignment="1" applyProtection="1">
      <alignment horizontal="right" vertical="center" wrapText="1"/>
    </xf>
    <xf numFmtId="2" fontId="9" fillId="0" borderId="0" xfId="0" applyNumberFormat="1" applyFont="1" applyAlignment="1" applyProtection="1">
      <alignment vertical="center" wrapText="1"/>
    </xf>
    <xf numFmtId="2" fontId="9" fillId="4" borderId="1" xfId="1" applyNumberFormat="1" applyFont="1" applyFill="1" applyBorder="1" applyAlignment="1" applyProtection="1">
      <alignment horizontal="center" vertical="center"/>
    </xf>
    <xf numFmtId="2" fontId="9" fillId="4" borderId="1" xfId="5" applyNumberFormat="1" applyFont="1" applyFill="1" applyBorder="1" applyAlignment="1" applyProtection="1">
      <alignment vertical="center" wrapText="1"/>
    </xf>
    <xf numFmtId="2" fontId="9" fillId="4" borderId="1" xfId="5" applyNumberFormat="1" applyFont="1" applyFill="1" applyBorder="1" applyAlignment="1" applyProtection="1">
      <alignment horizontal="center" vertical="center" wrapText="1"/>
    </xf>
    <xf numFmtId="2" fontId="9" fillId="4" borderId="1" xfId="5" applyNumberFormat="1" applyFont="1" applyFill="1" applyBorder="1" applyAlignment="1" applyProtection="1">
      <alignment horizontal="center" vertical="center"/>
    </xf>
    <xf numFmtId="2" fontId="9" fillId="4" borderId="5" xfId="1" applyNumberFormat="1" applyFont="1" applyFill="1" applyBorder="1" applyAlignment="1" applyProtection="1">
      <alignment horizontal="center" vertical="center" wrapText="1"/>
    </xf>
    <xf numFmtId="2" fontId="9" fillId="4" borderId="6" xfId="1" applyNumberFormat="1" applyFont="1" applyFill="1" applyBorder="1" applyAlignment="1" applyProtection="1">
      <alignment horizontal="center" vertical="center" wrapText="1"/>
    </xf>
    <xf numFmtId="2" fontId="9" fillId="4" borderId="1" xfId="2" applyNumberFormat="1" applyFont="1" applyFill="1" applyBorder="1" applyAlignment="1" applyProtection="1">
      <alignment horizontal="center" vertical="center" wrapText="1"/>
    </xf>
    <xf numFmtId="2" fontId="9" fillId="4" borderId="2" xfId="2" applyNumberFormat="1" applyFont="1" applyFill="1" applyBorder="1" applyAlignment="1" applyProtection="1">
      <alignment horizontal="center" vertical="center" wrapText="1"/>
    </xf>
    <xf numFmtId="2" fontId="8" fillId="0" borderId="1" xfId="1" applyNumberFormat="1" applyFont="1" applyFill="1" applyBorder="1" applyAlignment="1" applyProtection="1">
      <alignment horizontal="center" vertical="center"/>
    </xf>
    <xf numFmtId="2" fontId="8" fillId="0" borderId="1" xfId="0" applyNumberFormat="1" applyFont="1" applyFill="1" applyBorder="1" applyAlignment="1" applyProtection="1">
      <alignment horizontal="left" vertical="center" wrapText="1"/>
    </xf>
    <xf numFmtId="2" fontId="8" fillId="0" borderId="1" xfId="0" applyNumberFormat="1" applyFont="1" applyFill="1" applyBorder="1" applyAlignment="1" applyProtection="1">
      <alignment horizontal="center" vertical="center" wrapText="1"/>
    </xf>
    <xf numFmtId="2" fontId="8" fillId="0" borderId="1" xfId="5" applyNumberFormat="1" applyFont="1" applyFill="1" applyBorder="1" applyAlignment="1" applyProtection="1">
      <alignment horizontal="center" vertical="center"/>
    </xf>
    <xf numFmtId="2" fontId="8" fillId="0" borderId="5" xfId="1" applyNumberFormat="1" applyFont="1" applyFill="1" applyBorder="1" applyAlignment="1" applyProtection="1">
      <alignment horizontal="center" vertical="center" wrapText="1"/>
    </xf>
    <xf numFmtId="2" fontId="8" fillId="0" borderId="6" xfId="1" applyNumberFormat="1" applyFont="1" applyFill="1" applyBorder="1" applyAlignment="1" applyProtection="1">
      <alignment horizontal="center" vertical="center" wrapText="1"/>
    </xf>
    <xf numFmtId="2" fontId="8" fillId="0" borderId="1" xfId="2" applyNumberFormat="1" applyFont="1" applyFill="1" applyBorder="1" applyAlignment="1" applyProtection="1">
      <alignment horizontal="center" vertical="center" wrapText="1"/>
    </xf>
    <xf numFmtId="2" fontId="8" fillId="0" borderId="2" xfId="2" applyNumberFormat="1" applyFont="1" applyFill="1" applyBorder="1" applyAlignment="1" applyProtection="1">
      <alignment horizontal="center" vertical="center" wrapText="1"/>
    </xf>
    <xf numFmtId="2" fontId="9" fillId="0" borderId="0" xfId="0" applyNumberFormat="1" applyFont="1" applyFill="1" applyAlignment="1" applyProtection="1">
      <alignment vertical="center"/>
    </xf>
    <xf numFmtId="2" fontId="9" fillId="4" borderId="1" xfId="0" applyNumberFormat="1" applyFont="1" applyFill="1" applyBorder="1" applyAlignment="1" applyProtection="1">
      <alignment horizontal="left" vertical="center" wrapText="1"/>
    </xf>
    <xf numFmtId="2" fontId="8" fillId="0" borderId="1" xfId="0" applyNumberFormat="1" applyFont="1" applyFill="1" applyBorder="1" applyAlignment="1" applyProtection="1">
      <alignment vertical="center" wrapText="1"/>
    </xf>
    <xf numFmtId="2" fontId="8" fillId="0" borderId="1" xfId="1" applyNumberFormat="1" applyFont="1" applyFill="1" applyBorder="1" applyAlignment="1" applyProtection="1">
      <alignment horizontal="center" vertical="center" wrapText="1"/>
    </xf>
    <xf numFmtId="2" fontId="9" fillId="0" borderId="1" xfId="1" applyNumberFormat="1" applyFont="1" applyFill="1" applyBorder="1" applyAlignment="1" applyProtection="1">
      <alignment horizontal="center" vertical="center"/>
    </xf>
    <xf numFmtId="2" fontId="8" fillId="0" borderId="1" xfId="5" applyNumberFormat="1" applyFont="1" applyFill="1" applyBorder="1" applyAlignment="1" applyProtection="1">
      <alignment horizontal="center" vertical="center" wrapText="1"/>
    </xf>
    <xf numFmtId="2" fontId="8" fillId="0" borderId="1" xfId="0" applyNumberFormat="1" applyFont="1" applyFill="1" applyBorder="1" applyAlignment="1" applyProtection="1">
      <alignment wrapText="1"/>
    </xf>
    <xf numFmtId="2" fontId="9" fillId="4" borderId="6" xfId="3" applyNumberFormat="1" applyFont="1" applyFill="1" applyBorder="1" applyAlignment="1" applyProtection="1">
      <alignment horizontal="center" vertical="center" wrapText="1"/>
    </xf>
    <xf numFmtId="2" fontId="8" fillId="0" borderId="0" xfId="0" applyNumberFormat="1" applyFont="1" applyFill="1" applyAlignment="1" applyProtection="1">
      <alignment vertical="center"/>
    </xf>
    <xf numFmtId="2" fontId="8" fillId="0" borderId="6" xfId="3" applyNumberFormat="1" applyFont="1" applyFill="1" applyBorder="1" applyAlignment="1" applyProtection="1">
      <alignment horizontal="center" vertical="center" wrapText="1"/>
    </xf>
    <xf numFmtId="2" fontId="9" fillId="4" borderId="1" xfId="5" applyNumberFormat="1" applyFont="1" applyFill="1" applyBorder="1" applyAlignment="1" applyProtection="1">
      <alignment horizontal="left" vertical="center" wrapText="1"/>
    </xf>
    <xf numFmtId="2" fontId="9" fillId="0" borderId="25" xfId="0" applyNumberFormat="1" applyFont="1" applyFill="1" applyBorder="1" applyAlignment="1" applyProtection="1">
      <alignment horizontal="center" vertical="center"/>
    </xf>
    <xf numFmtId="2" fontId="9" fillId="0" borderId="0" xfId="0" applyNumberFormat="1" applyFont="1" applyFill="1" applyBorder="1" applyAlignment="1" applyProtection="1">
      <alignment horizontal="center" vertical="center"/>
    </xf>
    <xf numFmtId="2" fontId="4" fillId="0" borderId="0" xfId="0" applyNumberFormat="1" applyFont="1" applyFill="1" applyAlignment="1" applyProtection="1">
      <alignment vertical="center"/>
    </xf>
    <xf numFmtId="2" fontId="8" fillId="0" borderId="9" xfId="1" applyNumberFormat="1" applyFont="1" applyFill="1" applyBorder="1" applyAlignment="1" applyProtection="1">
      <alignment horizontal="center" vertical="center"/>
    </xf>
    <xf numFmtId="2" fontId="8" fillId="0" borderId="9" xfId="0" applyNumberFormat="1" applyFont="1" applyFill="1" applyBorder="1" applyAlignment="1" applyProtection="1">
      <alignment horizontal="left" vertical="center" wrapText="1"/>
    </xf>
    <xf numFmtId="2" fontId="8" fillId="0" borderId="9" xfId="0" applyNumberFormat="1" applyFont="1" applyFill="1" applyBorder="1" applyAlignment="1" applyProtection="1">
      <alignment horizontal="center" vertical="center" wrapText="1"/>
    </xf>
    <xf numFmtId="2" fontId="8" fillId="0" borderId="9" xfId="5" applyNumberFormat="1" applyFont="1" applyFill="1" applyBorder="1" applyAlignment="1" applyProtection="1">
      <alignment horizontal="center" vertical="center"/>
    </xf>
    <xf numFmtId="2" fontId="8" fillId="0" borderId="11" xfId="1" applyNumberFormat="1" applyFont="1" applyFill="1" applyBorder="1" applyAlignment="1" applyProtection="1">
      <alignment horizontal="center" vertical="center" wrapText="1"/>
    </xf>
    <xf numFmtId="2" fontId="8" fillId="0" borderId="18" xfId="3" applyNumberFormat="1" applyFont="1" applyFill="1" applyBorder="1" applyAlignment="1" applyProtection="1">
      <alignment horizontal="center" vertical="center" wrapText="1"/>
    </xf>
    <xf numFmtId="2" fontId="20" fillId="3" borderId="27" xfId="3" applyNumberFormat="1" applyFont="1" applyFill="1" applyBorder="1" applyAlignment="1" applyProtection="1">
      <alignment horizontal="center" vertical="center" wrapText="1"/>
    </xf>
    <xf numFmtId="2" fontId="20" fillId="3" borderId="28" xfId="3" applyNumberFormat="1" applyFont="1" applyFill="1" applyBorder="1" applyAlignment="1" applyProtection="1">
      <alignment horizontal="center" vertical="center" wrapText="1"/>
    </xf>
    <xf numFmtId="2" fontId="20" fillId="3" borderId="28" xfId="16" applyNumberFormat="1" applyFont="1" applyFill="1" applyBorder="1" applyAlignment="1" applyProtection="1">
      <alignment horizontal="center" vertical="center" wrapText="1"/>
    </xf>
    <xf numFmtId="2" fontId="8" fillId="2" borderId="0" xfId="0" applyNumberFormat="1" applyFont="1" applyFill="1" applyAlignment="1" applyProtection="1">
      <alignment vertical="center"/>
    </xf>
    <xf numFmtId="2" fontId="14" fillId="3" borderId="30" xfId="1" applyNumberFormat="1" applyFont="1" applyFill="1" applyBorder="1" applyAlignment="1" applyProtection="1">
      <alignment horizontal="center" vertical="center"/>
    </xf>
    <xf numFmtId="2" fontId="14" fillId="3" borderId="26" xfId="1" applyNumberFormat="1" applyFont="1" applyFill="1" applyBorder="1" applyAlignment="1" applyProtection="1">
      <alignment vertical="center"/>
    </xf>
    <xf numFmtId="2" fontId="20" fillId="3" borderId="26" xfId="16" applyNumberFormat="1" applyFont="1" applyFill="1" applyBorder="1" applyAlignment="1" applyProtection="1">
      <alignment horizontal="center" vertical="center" wrapText="1"/>
    </xf>
    <xf numFmtId="2" fontId="14" fillId="3" borderId="26" xfId="1" applyNumberFormat="1" applyFont="1" applyFill="1" applyBorder="1" applyAlignment="1" applyProtection="1">
      <alignment horizontal="center" vertical="center"/>
    </xf>
    <xf numFmtId="2" fontId="14" fillId="3" borderId="26" xfId="1" applyNumberFormat="1" applyFont="1" applyFill="1" applyBorder="1" applyAlignment="1" applyProtection="1">
      <alignment horizontal="right" vertical="center"/>
    </xf>
    <xf numFmtId="2" fontId="9" fillId="7" borderId="37" xfId="0" applyNumberFormat="1" applyFont="1" applyFill="1" applyBorder="1" applyAlignment="1" applyProtection="1">
      <alignment vertical="center"/>
    </xf>
    <xf numFmtId="2" fontId="9" fillId="7" borderId="38" xfId="0" applyNumberFormat="1" applyFont="1" applyFill="1" applyBorder="1" applyAlignment="1" applyProtection="1">
      <alignment vertical="center"/>
    </xf>
    <xf numFmtId="2" fontId="9" fillId="7" borderId="39" xfId="0" applyNumberFormat="1" applyFont="1" applyFill="1" applyBorder="1" applyAlignment="1" applyProtection="1">
      <alignment vertical="center"/>
    </xf>
    <xf numFmtId="2" fontId="21" fillId="7" borderId="38" xfId="0" applyNumberFormat="1" applyFont="1" applyFill="1" applyBorder="1" applyAlignment="1" applyProtection="1">
      <alignment horizontal="center" vertical="center"/>
    </xf>
    <xf numFmtId="2" fontId="21" fillId="7" borderId="38" xfId="0" applyNumberFormat="1" applyFont="1" applyFill="1" applyBorder="1" applyAlignment="1" applyProtection="1">
      <alignment vertical="center"/>
    </xf>
    <xf numFmtId="2" fontId="21" fillId="7" borderId="40" xfId="0" applyNumberFormat="1" applyFont="1" applyFill="1" applyBorder="1" applyAlignment="1" applyProtection="1">
      <alignment vertical="center"/>
    </xf>
    <xf numFmtId="2" fontId="4" fillId="0" borderId="0" xfId="1" applyNumberFormat="1" applyFont="1" applyAlignment="1" applyProtection="1">
      <alignment horizontal="center" vertical="center"/>
    </xf>
    <xf numFmtId="2" fontId="4" fillId="0" borderId="0" xfId="1" applyNumberFormat="1" applyFont="1" applyAlignment="1" applyProtection="1">
      <alignment vertical="center"/>
    </xf>
    <xf numFmtId="2" fontId="4" fillId="0" borderId="0" xfId="1" applyNumberFormat="1" applyFont="1" applyAlignment="1" applyProtection="1">
      <alignment vertical="center" wrapText="1"/>
    </xf>
    <xf numFmtId="2" fontId="4" fillId="0" borderId="0" xfId="1" applyNumberFormat="1" applyFont="1" applyAlignment="1" applyProtection="1">
      <alignment horizontal="right" vertical="center"/>
    </xf>
    <xf numFmtId="2" fontId="8" fillId="0" borderId="0" xfId="0" applyNumberFormat="1" applyFont="1" applyAlignment="1" applyProtection="1">
      <alignment horizontal="left" vertical="center" wrapText="1"/>
    </xf>
    <xf numFmtId="2" fontId="8" fillId="0" borderId="0" xfId="0" applyNumberFormat="1" applyFont="1" applyAlignment="1" applyProtection="1">
      <alignment horizontal="left" vertical="center"/>
    </xf>
    <xf numFmtId="2" fontId="19" fillId="0" borderId="0" xfId="0" applyNumberFormat="1" applyFont="1" applyProtection="1"/>
    <xf numFmtId="2" fontId="22" fillId="0" borderId="0" xfId="0" applyNumberFormat="1" applyFont="1" applyProtection="1"/>
    <xf numFmtId="2" fontId="21" fillId="0" borderId="0" xfId="0" applyNumberFormat="1" applyFont="1" applyProtection="1"/>
    <xf numFmtId="2" fontId="4" fillId="0" borderId="0" xfId="0" applyNumberFormat="1" applyFont="1" applyAlignment="1" applyProtection="1">
      <alignment vertical="center"/>
      <protection locked="0"/>
    </xf>
    <xf numFmtId="2" fontId="0" fillId="0" borderId="0" xfId="0" applyNumberFormat="1" applyProtection="1">
      <protection locked="0"/>
    </xf>
    <xf numFmtId="2" fontId="21" fillId="8" borderId="56" xfId="0" applyNumberFormat="1" applyFont="1" applyFill="1" applyBorder="1" applyAlignment="1" applyProtection="1">
      <alignment horizontal="center" vertical="center" wrapText="1"/>
      <protection locked="0"/>
    </xf>
    <xf numFmtId="2" fontId="21" fillId="8" borderId="6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6" xfId="0" applyNumberFormat="1" applyFont="1" applyBorder="1" applyAlignment="1" applyProtection="1">
      <alignment vertical="center"/>
      <protection locked="0"/>
    </xf>
    <xf numFmtId="2" fontId="9" fillId="0" borderId="6" xfId="0" applyNumberFormat="1" applyFont="1" applyBorder="1" applyAlignment="1" applyProtection="1">
      <alignment vertical="center" wrapText="1"/>
      <protection locked="0"/>
    </xf>
    <xf numFmtId="2" fontId="9" fillId="0" borderId="6" xfId="0" applyNumberFormat="1" applyFont="1" applyFill="1" applyBorder="1" applyAlignment="1" applyProtection="1">
      <alignment vertical="center"/>
      <protection locked="0"/>
    </xf>
    <xf numFmtId="2" fontId="8" fillId="0" borderId="6" xfId="0" applyNumberFormat="1" applyFont="1" applyFill="1" applyBorder="1" applyAlignment="1" applyProtection="1">
      <alignment vertical="center"/>
      <protection locked="0"/>
    </xf>
    <xf numFmtId="2" fontId="4" fillId="0" borderId="6" xfId="0" applyNumberFormat="1" applyFont="1" applyFill="1" applyBorder="1" applyAlignment="1" applyProtection="1">
      <alignment vertical="center"/>
      <protection locked="0"/>
    </xf>
    <xf numFmtId="2" fontId="8" fillId="2" borderId="6" xfId="0" applyNumberFormat="1" applyFont="1" applyFill="1" applyBorder="1" applyAlignment="1" applyProtection="1">
      <alignment vertical="center"/>
      <protection locked="0"/>
    </xf>
    <xf numFmtId="2" fontId="4" fillId="0" borderId="6" xfId="0" applyNumberFormat="1" applyFont="1" applyBorder="1" applyAlignment="1" applyProtection="1">
      <alignment vertical="center"/>
      <protection locked="0"/>
    </xf>
    <xf numFmtId="2" fontId="4" fillId="0" borderId="57" xfId="0" applyNumberFormat="1" applyFont="1" applyBorder="1" applyAlignment="1" applyProtection="1">
      <alignment vertical="center"/>
      <protection locked="0"/>
    </xf>
    <xf numFmtId="2" fontId="8" fillId="0" borderId="42" xfId="0" applyNumberFormat="1" applyFont="1" applyBorder="1" applyAlignment="1" applyProtection="1">
      <alignment horizontal="center" vertical="center" wrapText="1"/>
      <protection locked="0"/>
    </xf>
    <xf numFmtId="2" fontId="8" fillId="0" borderId="43" xfId="0" applyNumberFormat="1" applyFont="1" applyBorder="1" applyAlignment="1" applyProtection="1">
      <alignment vertical="center" wrapText="1"/>
      <protection locked="0"/>
    </xf>
    <xf numFmtId="2" fontId="8" fillId="0" borderId="44" xfId="0" applyNumberFormat="1" applyFont="1" applyBorder="1" applyAlignment="1" applyProtection="1">
      <alignment vertical="center" wrapText="1"/>
      <protection locked="0"/>
    </xf>
    <xf numFmtId="2" fontId="8" fillId="0" borderId="44" xfId="0" applyNumberFormat="1" applyFont="1" applyBorder="1" applyProtection="1">
      <protection locked="0"/>
    </xf>
    <xf numFmtId="2" fontId="8" fillId="0" borderId="45" xfId="0" applyNumberFormat="1" applyFont="1" applyBorder="1" applyAlignment="1" applyProtection="1">
      <alignment vertical="center" wrapText="1"/>
      <protection locked="0"/>
    </xf>
    <xf numFmtId="2" fontId="19" fillId="0" borderId="4" xfId="0" applyNumberFormat="1" applyFont="1" applyBorder="1" applyAlignment="1" applyProtection="1">
      <alignment horizontal="center" vertical="center"/>
      <protection locked="0"/>
    </xf>
    <xf numFmtId="2" fontId="19" fillId="0" borderId="1" xfId="0" applyNumberFormat="1" applyFont="1" applyBorder="1" applyAlignment="1" applyProtection="1">
      <alignment horizontal="center" vertical="center"/>
      <protection locked="0"/>
    </xf>
    <xf numFmtId="2" fontId="19" fillId="0" borderId="1" xfId="0" applyNumberFormat="1" applyFont="1" applyBorder="1" applyProtection="1">
      <protection locked="0"/>
    </xf>
    <xf numFmtId="2" fontId="21" fillId="0" borderId="2" xfId="0" applyNumberFormat="1" applyFont="1" applyBorder="1" applyProtection="1">
      <protection locked="0"/>
    </xf>
    <xf numFmtId="2" fontId="8" fillId="0" borderId="47" xfId="0" applyNumberFormat="1" applyFont="1" applyBorder="1" applyAlignment="1" applyProtection="1">
      <alignment horizontal="center" vertical="center" wrapText="1"/>
      <protection locked="0"/>
    </xf>
    <xf numFmtId="2" fontId="8" fillId="0" borderId="48" xfId="0" applyNumberFormat="1" applyFont="1" applyBorder="1" applyAlignment="1" applyProtection="1">
      <alignment vertical="center" wrapText="1"/>
      <protection locked="0"/>
    </xf>
    <xf numFmtId="2" fontId="8" fillId="0" borderId="49" xfId="0" applyNumberFormat="1" applyFont="1" applyBorder="1" applyAlignment="1" applyProtection="1">
      <alignment vertical="center" wrapText="1"/>
      <protection locked="0"/>
    </xf>
    <xf numFmtId="2" fontId="8" fillId="0" borderId="49" xfId="0" applyNumberFormat="1" applyFont="1" applyBorder="1" applyProtection="1">
      <protection locked="0"/>
    </xf>
    <xf numFmtId="2" fontId="8" fillId="0" borderId="50" xfId="0" applyNumberFormat="1" applyFont="1" applyBorder="1" applyAlignment="1" applyProtection="1">
      <alignment vertical="center" wrapText="1"/>
      <protection locked="0"/>
    </xf>
    <xf numFmtId="2" fontId="8" fillId="0" borderId="48" xfId="0" applyNumberFormat="1" applyFont="1" applyBorder="1" applyAlignment="1" applyProtection="1">
      <alignment horizontal="left" vertical="center" wrapText="1"/>
      <protection locked="0"/>
    </xf>
    <xf numFmtId="2" fontId="8" fillId="0" borderId="49" xfId="0" applyNumberFormat="1" applyFont="1" applyBorder="1" applyAlignment="1" applyProtection="1">
      <alignment horizontal="left" vertical="center" wrapText="1"/>
      <protection locked="0"/>
    </xf>
    <xf numFmtId="2" fontId="8" fillId="0" borderId="52" xfId="0" applyNumberFormat="1" applyFont="1" applyBorder="1" applyAlignment="1" applyProtection="1">
      <alignment horizontal="center" vertical="center" wrapText="1"/>
      <protection locked="0"/>
    </xf>
    <xf numFmtId="2" fontId="8" fillId="0" borderId="35" xfId="0" applyNumberFormat="1" applyFont="1" applyBorder="1" applyAlignment="1" applyProtection="1">
      <alignment vertical="center" wrapText="1"/>
      <protection locked="0"/>
    </xf>
    <xf numFmtId="2" fontId="8" fillId="0" borderId="53" xfId="0" applyNumberFormat="1" applyFont="1" applyBorder="1" applyAlignment="1" applyProtection="1">
      <alignment vertical="center" wrapText="1"/>
      <protection locked="0"/>
    </xf>
    <xf numFmtId="2" fontId="8" fillId="0" borderId="53" xfId="0" applyNumberFormat="1" applyFont="1" applyBorder="1" applyProtection="1">
      <protection locked="0"/>
    </xf>
    <xf numFmtId="2" fontId="8" fillId="0" borderId="54" xfId="0" applyNumberFormat="1" applyFont="1" applyBorder="1" applyAlignment="1" applyProtection="1">
      <alignment vertical="center" wrapText="1"/>
      <protection locked="0"/>
    </xf>
    <xf numFmtId="2" fontId="19" fillId="0" borderId="55" xfId="0" applyNumberFormat="1" applyFont="1" applyBorder="1" applyAlignment="1" applyProtection="1">
      <alignment horizontal="center" vertical="center"/>
      <protection locked="0"/>
    </xf>
    <xf numFmtId="2" fontId="19" fillId="0" borderId="26" xfId="0" applyNumberFormat="1" applyFont="1" applyBorder="1" applyAlignment="1" applyProtection="1">
      <alignment horizontal="center" vertical="center"/>
      <protection locked="0"/>
    </xf>
    <xf numFmtId="2" fontId="19" fillId="0" borderId="26" xfId="0" applyNumberFormat="1" applyFont="1" applyBorder="1" applyProtection="1">
      <protection locked="0"/>
    </xf>
    <xf numFmtId="2" fontId="21" fillId="0" borderId="31" xfId="0" applyNumberFormat="1" applyFont="1" applyBorder="1" applyProtection="1">
      <protection locked="0"/>
    </xf>
    <xf numFmtId="2" fontId="9" fillId="4" borderId="4" xfId="2" applyNumberFormat="1" applyFont="1" applyFill="1" applyBorder="1" applyAlignment="1" applyProtection="1">
      <alignment horizontal="center" vertical="center" wrapText="1"/>
      <protection locked="0"/>
    </xf>
    <xf numFmtId="2" fontId="9" fillId="4" borderId="1" xfId="2" applyNumberFormat="1" applyFont="1" applyFill="1" applyBorder="1" applyAlignment="1" applyProtection="1">
      <alignment horizontal="right" vertical="center"/>
      <protection locked="0"/>
    </xf>
    <xf numFmtId="2" fontId="8" fillId="0" borderId="4" xfId="2" applyNumberFormat="1" applyFont="1" applyFill="1" applyBorder="1" applyAlignment="1" applyProtection="1">
      <alignment horizontal="center" vertical="center" wrapText="1"/>
      <protection locked="0"/>
    </xf>
    <xf numFmtId="2" fontId="8" fillId="0" borderId="1" xfId="2" applyNumberFormat="1" applyFont="1" applyFill="1" applyBorder="1" applyAlignment="1" applyProtection="1">
      <alignment horizontal="right" vertical="center"/>
      <protection locked="0"/>
    </xf>
    <xf numFmtId="2" fontId="8" fillId="3" borderId="4" xfId="2" applyNumberFormat="1" applyFont="1" applyFill="1" applyBorder="1" applyAlignment="1" applyProtection="1">
      <alignment horizontal="center" vertical="center" wrapText="1"/>
      <protection locked="0"/>
    </xf>
    <xf numFmtId="2" fontId="9" fillId="3" borderId="1" xfId="2" applyNumberFormat="1" applyFont="1" applyFill="1" applyBorder="1" applyAlignment="1" applyProtection="1">
      <alignment horizontal="center" vertical="center" wrapText="1"/>
      <protection locked="0"/>
    </xf>
    <xf numFmtId="2" fontId="8" fillId="0" borderId="1" xfId="2" applyNumberFormat="1" applyFont="1" applyFill="1" applyBorder="1" applyAlignment="1" applyProtection="1">
      <alignment horizontal="center" vertical="center" wrapText="1"/>
      <protection locked="0"/>
    </xf>
    <xf numFmtId="2" fontId="8" fillId="0" borderId="4" xfId="2" applyNumberFormat="1" applyFont="1" applyFill="1" applyBorder="1" applyAlignment="1" applyProtection="1">
      <alignment horizontal="right" vertical="center"/>
      <protection locked="0"/>
    </xf>
    <xf numFmtId="2" fontId="8" fillId="6" borderId="4" xfId="2" applyNumberFormat="1" applyFont="1" applyFill="1" applyBorder="1" applyAlignment="1" applyProtection="1">
      <alignment horizontal="center" vertical="center" wrapText="1"/>
      <protection locked="0"/>
    </xf>
    <xf numFmtId="2" fontId="9" fillId="6" borderId="1" xfId="2" applyNumberFormat="1" applyFont="1" applyFill="1" applyBorder="1" applyAlignment="1" applyProtection="1">
      <alignment horizontal="center" vertical="center" wrapText="1"/>
      <protection locked="0"/>
    </xf>
    <xf numFmtId="2" fontId="9" fillId="0" borderId="1" xfId="2" applyNumberFormat="1" applyFont="1" applyFill="1" applyBorder="1" applyAlignment="1" applyProtection="1">
      <alignment horizontal="center" vertical="center" wrapText="1"/>
      <protection locked="0"/>
    </xf>
    <xf numFmtId="2" fontId="8" fillId="0" borderId="10" xfId="2" applyNumberFormat="1" applyFont="1" applyFill="1" applyBorder="1" applyAlignment="1" applyProtection="1">
      <alignment horizontal="center" vertical="center" wrapText="1"/>
      <protection locked="0"/>
    </xf>
    <xf numFmtId="2" fontId="8" fillId="0" borderId="9" xfId="2" applyNumberFormat="1" applyFont="1" applyFill="1" applyBorder="1" applyAlignment="1" applyProtection="1">
      <alignment horizontal="right" vertical="center"/>
      <protection locked="0"/>
    </xf>
    <xf numFmtId="0" fontId="8" fillId="0" borderId="19" xfId="1" applyNumberFormat="1" applyFont="1" applyBorder="1" applyAlignment="1" applyProtection="1">
      <alignment horizontal="center" vertical="center" wrapText="1"/>
    </xf>
    <xf numFmtId="0" fontId="8" fillId="0" borderId="8" xfId="1" applyNumberFormat="1" applyFont="1" applyBorder="1" applyAlignment="1" applyProtection="1">
      <alignment horizontal="center" vertical="center" wrapText="1"/>
    </xf>
    <xf numFmtId="0" fontId="8" fillId="0" borderId="20" xfId="1" applyNumberFormat="1" applyFont="1" applyBorder="1" applyAlignment="1" applyProtection="1">
      <alignment horizontal="center" vertical="center" wrapText="1"/>
    </xf>
    <xf numFmtId="0" fontId="8" fillId="0" borderId="12" xfId="1" applyNumberFormat="1" applyFont="1" applyBorder="1" applyAlignment="1" applyProtection="1">
      <alignment horizontal="center" vertical="center" wrapText="1"/>
    </xf>
    <xf numFmtId="0" fontId="8" fillId="0" borderId="21" xfId="1" applyNumberFormat="1" applyFont="1" applyBorder="1" applyAlignment="1" applyProtection="1">
      <alignment horizontal="center" vertical="center" wrapText="1"/>
    </xf>
    <xf numFmtId="0" fontId="9" fillId="5" borderId="23" xfId="0" applyNumberFormat="1" applyFont="1" applyFill="1" applyBorder="1" applyAlignment="1" applyProtection="1">
      <alignment horizontal="center" vertical="center"/>
    </xf>
    <xf numFmtId="0" fontId="9" fillId="6" borderId="23" xfId="0" applyNumberFormat="1" applyFont="1" applyFill="1" applyBorder="1" applyAlignment="1" applyProtection="1">
      <alignment horizontal="center" vertical="center"/>
    </xf>
    <xf numFmtId="0" fontId="9" fillId="3" borderId="23" xfId="0" applyNumberFormat="1" applyFont="1" applyFill="1" applyBorder="1" applyAlignment="1" applyProtection="1">
      <alignment horizontal="center" vertical="center"/>
    </xf>
    <xf numFmtId="0" fontId="9" fillId="4" borderId="23" xfId="1" applyNumberFormat="1" applyFont="1" applyFill="1" applyBorder="1" applyAlignment="1" applyProtection="1">
      <alignment horizontal="center" vertical="center"/>
    </xf>
    <xf numFmtId="0" fontId="8" fillId="0" borderId="23" xfId="1" applyNumberFormat="1" applyFont="1" applyFill="1" applyBorder="1" applyAlignment="1" applyProtection="1">
      <alignment horizontal="center" vertical="center"/>
    </xf>
    <xf numFmtId="0" fontId="8" fillId="0" borderId="24" xfId="1" applyNumberFormat="1" applyFont="1" applyFill="1" applyBorder="1" applyAlignment="1" applyProtection="1">
      <alignment horizontal="center" vertical="center"/>
    </xf>
    <xf numFmtId="0" fontId="8" fillId="0" borderId="41" xfId="0" applyNumberFormat="1" applyFont="1" applyBorder="1" applyAlignment="1" applyProtection="1">
      <alignment horizontal="center" vertical="center" wrapText="1"/>
      <protection locked="0"/>
    </xf>
    <xf numFmtId="0" fontId="8" fillId="0" borderId="46" xfId="0" applyNumberFormat="1" applyFont="1" applyBorder="1" applyAlignment="1" applyProtection="1">
      <alignment horizontal="center" vertical="center" wrapText="1"/>
      <protection locked="0"/>
    </xf>
    <xf numFmtId="0" fontId="8" fillId="0" borderId="51" xfId="0" applyNumberFormat="1" applyFont="1" applyBorder="1" applyAlignment="1" applyProtection="1">
      <alignment horizontal="center" vertical="center" wrapText="1"/>
      <protection locked="0"/>
    </xf>
    <xf numFmtId="49" fontId="8" fillId="0" borderId="0" xfId="0" applyNumberFormat="1" applyFont="1" applyProtection="1"/>
    <xf numFmtId="0" fontId="8" fillId="0" borderId="0" xfId="0" applyFont="1" applyProtection="1"/>
    <xf numFmtId="0" fontId="4" fillId="0" borderId="0" xfId="0" applyFont="1" applyAlignment="1" applyProtection="1">
      <alignment vertical="center"/>
    </xf>
    <xf numFmtId="0" fontId="8" fillId="0" borderId="0" xfId="0" applyFont="1" applyFill="1" applyProtection="1"/>
    <xf numFmtId="0" fontId="13" fillId="0" borderId="0" xfId="0" applyFont="1" applyFill="1" applyProtection="1"/>
    <xf numFmtId="43" fontId="12" fillId="0" borderId="0" xfId="3" applyFont="1" applyFill="1" applyAlignment="1" applyProtection="1">
      <alignment horizontal="right" vertical="center"/>
    </xf>
    <xf numFmtId="4" fontId="18" fillId="0" borderId="0" xfId="0" applyNumberFormat="1" applyFont="1" applyAlignment="1" applyProtection="1">
      <alignment horizontal="center" vertical="center" wrapText="1"/>
    </xf>
    <xf numFmtId="4" fontId="15" fillId="0" borderId="0" xfId="0" applyNumberFormat="1" applyFont="1" applyAlignment="1" applyProtection="1">
      <alignment vertical="center"/>
    </xf>
    <xf numFmtId="0" fontId="0" fillId="0" borderId="0" xfId="0" applyProtection="1"/>
    <xf numFmtId="49" fontId="9" fillId="0" borderId="16" xfId="0" applyNumberFormat="1" applyFont="1" applyBorder="1" applyAlignment="1" applyProtection="1">
      <alignment horizontal="center" vertical="center" wrapText="1"/>
    </xf>
    <xf numFmtId="49" fontId="9" fillId="0" borderId="14" xfId="0" applyNumberFormat="1" applyFont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wrapText="1"/>
    </xf>
    <xf numFmtId="0" fontId="9" fillId="2" borderId="20" xfId="0" applyFont="1" applyFill="1" applyBorder="1" applyAlignment="1" applyProtection="1">
      <alignment horizontal="center" vertical="center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 wrapText="1"/>
    </xf>
    <xf numFmtId="0" fontId="9" fillId="0" borderId="32" xfId="0" applyFont="1" applyBorder="1" applyAlignment="1" applyProtection="1">
      <alignment horizontal="center" vertical="center" wrapText="1"/>
    </xf>
    <xf numFmtId="0" fontId="9" fillId="0" borderId="33" xfId="0" applyFont="1" applyBorder="1" applyAlignment="1" applyProtection="1">
      <alignment horizontal="center" vertical="center" wrapText="1"/>
    </xf>
    <xf numFmtId="49" fontId="9" fillId="0" borderId="7" xfId="0" applyNumberFormat="1" applyFont="1" applyBorder="1" applyAlignment="1" applyProtection="1">
      <alignment horizontal="center" vertical="center" wrapText="1"/>
    </xf>
    <xf numFmtId="49" fontId="9" fillId="0" borderId="15" xfId="0" applyNumberFormat="1" applyFont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22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9" fillId="0" borderId="34" xfId="0" applyFont="1" applyBorder="1" applyAlignment="1" applyProtection="1">
      <alignment horizontal="center" vertical="center" wrapText="1"/>
    </xf>
    <xf numFmtId="0" fontId="9" fillId="0" borderId="35" xfId="0" applyFont="1" applyBorder="1" applyAlignment="1" applyProtection="1">
      <alignment horizontal="center" vertical="center" wrapText="1"/>
    </xf>
    <xf numFmtId="0" fontId="9" fillId="0" borderId="35" xfId="0" applyFont="1" applyBorder="1" applyAlignment="1" applyProtection="1">
      <alignment horizontal="center" vertical="center" wrapText="1"/>
    </xf>
    <xf numFmtId="0" fontId="9" fillId="0" borderId="36" xfId="0" applyFont="1" applyBorder="1" applyAlignment="1" applyProtection="1">
      <alignment horizontal="center" vertical="center" wrapText="1"/>
    </xf>
    <xf numFmtId="0" fontId="9" fillId="5" borderId="23" xfId="0" applyFont="1" applyFill="1" applyBorder="1" applyAlignment="1" applyProtection="1">
      <alignment horizontal="center" vertical="center"/>
    </xf>
    <xf numFmtId="49" fontId="9" fillId="5" borderId="1" xfId="0" applyNumberFormat="1" applyFont="1" applyFill="1" applyBorder="1" applyAlignment="1" applyProtection="1">
      <alignment horizontal="center" vertical="center" wrapText="1"/>
    </xf>
    <xf numFmtId="4" fontId="9" fillId="5" borderId="1" xfId="0" applyNumberFormat="1" applyFont="1" applyFill="1" applyBorder="1" applyAlignment="1" applyProtection="1">
      <alignment horizontal="left" vertical="center" wrapText="1"/>
    </xf>
    <xf numFmtId="4" fontId="9" fillId="5" borderId="1" xfId="1" applyNumberFormat="1" applyFont="1" applyFill="1" applyBorder="1" applyAlignment="1" applyProtection="1">
      <alignment horizontal="center" vertical="center" wrapText="1"/>
    </xf>
    <xf numFmtId="4" fontId="9" fillId="5" borderId="5" xfId="1" applyNumberFormat="1" applyFont="1" applyFill="1" applyBorder="1" applyAlignment="1" applyProtection="1">
      <alignment horizontal="center" vertical="center" wrapText="1"/>
    </xf>
    <xf numFmtId="4" fontId="9" fillId="5" borderId="6" xfId="1" applyNumberFormat="1" applyFont="1" applyFill="1" applyBorder="1" applyAlignment="1" applyProtection="1">
      <alignment horizontal="center" vertical="center" wrapText="1"/>
    </xf>
    <xf numFmtId="4" fontId="8" fillId="5" borderId="4" xfId="2" applyNumberFormat="1" applyFont="1" applyFill="1" applyBorder="1" applyAlignment="1" applyProtection="1">
      <alignment horizontal="center" vertical="center" wrapText="1"/>
    </xf>
    <xf numFmtId="4" fontId="9" fillId="5" borderId="1" xfId="2" applyNumberFormat="1" applyFont="1" applyFill="1" applyBorder="1" applyAlignment="1" applyProtection="1">
      <alignment horizontal="center" vertical="center" wrapText="1"/>
    </xf>
    <xf numFmtId="0" fontId="9" fillId="6" borderId="23" xfId="0" applyFont="1" applyFill="1" applyBorder="1" applyAlignment="1" applyProtection="1">
      <alignment horizontal="center" vertical="center"/>
    </xf>
    <xf numFmtId="49" fontId="9" fillId="6" borderId="1" xfId="0" applyNumberFormat="1" applyFont="1" applyFill="1" applyBorder="1" applyAlignment="1" applyProtection="1">
      <alignment horizontal="center" vertical="center" wrapText="1"/>
    </xf>
    <xf numFmtId="4" fontId="9" fillId="6" borderId="1" xfId="0" applyNumberFormat="1" applyFont="1" applyFill="1" applyBorder="1" applyAlignment="1" applyProtection="1">
      <alignment horizontal="left" vertical="center" wrapText="1"/>
    </xf>
    <xf numFmtId="4" fontId="9" fillId="6" borderId="1" xfId="1" applyNumberFormat="1" applyFont="1" applyFill="1" applyBorder="1" applyAlignment="1" applyProtection="1">
      <alignment horizontal="center" vertical="center" wrapText="1"/>
    </xf>
    <xf numFmtId="4" fontId="9" fillId="6" borderId="5" xfId="1" applyNumberFormat="1" applyFont="1" applyFill="1" applyBorder="1" applyAlignment="1" applyProtection="1">
      <alignment horizontal="center" vertical="center" wrapText="1"/>
    </xf>
    <xf numFmtId="4" fontId="9" fillId="6" borderId="6" xfId="1" applyNumberFormat="1" applyFont="1" applyFill="1" applyBorder="1" applyAlignment="1" applyProtection="1">
      <alignment horizontal="center" vertical="center" wrapText="1"/>
    </xf>
    <xf numFmtId="4" fontId="8" fillId="6" borderId="4" xfId="2" applyNumberFormat="1" applyFont="1" applyFill="1" applyBorder="1" applyAlignment="1" applyProtection="1">
      <alignment horizontal="center" vertical="center" wrapText="1"/>
    </xf>
    <xf numFmtId="4" fontId="9" fillId="6" borderId="1" xfId="2" applyNumberFormat="1" applyFont="1" applyFill="1" applyBorder="1" applyAlignment="1" applyProtection="1">
      <alignment horizontal="center" vertical="center" wrapText="1"/>
    </xf>
    <xf numFmtId="0" fontId="9" fillId="3" borderId="23" xfId="0" applyFont="1" applyFill="1" applyBorder="1" applyAlignment="1" applyProtection="1">
      <alignment horizontal="center" vertical="center"/>
    </xf>
    <xf numFmtId="49" fontId="9" fillId="3" borderId="1" xfId="0" applyNumberFormat="1" applyFont="1" applyFill="1" applyBorder="1" applyAlignment="1" applyProtection="1">
      <alignment horizontal="center" vertical="center" wrapText="1"/>
    </xf>
    <xf numFmtId="4" fontId="9" fillId="3" borderId="1" xfId="0" applyNumberFormat="1" applyFont="1" applyFill="1" applyBorder="1" applyAlignment="1" applyProtection="1">
      <alignment horizontal="left" vertical="center" wrapText="1"/>
    </xf>
    <xf numFmtId="4" fontId="9" fillId="3" borderId="1" xfId="1" applyNumberFormat="1" applyFont="1" applyFill="1" applyBorder="1" applyAlignment="1" applyProtection="1">
      <alignment horizontal="center" vertical="center" wrapText="1"/>
    </xf>
    <xf numFmtId="4" fontId="9" fillId="3" borderId="5" xfId="1" applyNumberFormat="1" applyFont="1" applyFill="1" applyBorder="1" applyAlignment="1" applyProtection="1">
      <alignment horizontal="center" vertical="center" wrapText="1"/>
    </xf>
    <xf numFmtId="4" fontId="9" fillId="3" borderId="6" xfId="1" applyNumberFormat="1" applyFont="1" applyFill="1" applyBorder="1" applyAlignment="1" applyProtection="1">
      <alignment horizontal="center" vertical="center" wrapText="1"/>
    </xf>
    <xf numFmtId="4" fontId="8" fillId="3" borderId="4" xfId="2" applyNumberFormat="1" applyFont="1" applyFill="1" applyBorder="1" applyAlignment="1" applyProtection="1">
      <alignment horizontal="center" vertical="center" wrapText="1"/>
    </xf>
    <xf numFmtId="4" fontId="9" fillId="3" borderId="1" xfId="2" applyNumberFormat="1" applyFont="1" applyFill="1" applyBorder="1" applyAlignment="1" applyProtection="1">
      <alignment horizontal="center" vertical="center" wrapText="1"/>
    </xf>
    <xf numFmtId="4" fontId="9" fillId="4" borderId="6" xfId="1" applyNumberFormat="1" applyFont="1" applyFill="1" applyBorder="1" applyAlignment="1" applyProtection="1">
      <alignment horizontal="center" vertical="center" wrapText="1"/>
    </xf>
    <xf numFmtId="164" fontId="8" fillId="0" borderId="1" xfId="0" applyNumberFormat="1" applyFont="1" applyFill="1" applyBorder="1" applyAlignment="1" applyProtection="1">
      <alignment horizontal="left" vertical="center" wrapText="1"/>
    </xf>
    <xf numFmtId="4" fontId="8" fillId="0" borderId="1" xfId="0" applyNumberFormat="1" applyFont="1" applyFill="1" applyBorder="1" applyAlignment="1" applyProtection="1">
      <alignment horizontal="center" vertical="center" wrapText="1"/>
    </xf>
    <xf numFmtId="4" fontId="8" fillId="0" borderId="1" xfId="5" applyNumberFormat="1" applyFont="1" applyFill="1" applyBorder="1" applyAlignment="1" applyProtection="1">
      <alignment horizontal="center" vertical="center"/>
    </xf>
    <xf numFmtId="4" fontId="8" fillId="0" borderId="5" xfId="1" applyNumberFormat="1" applyFont="1" applyFill="1" applyBorder="1" applyAlignment="1" applyProtection="1">
      <alignment horizontal="center" vertical="center" wrapText="1"/>
    </xf>
    <xf numFmtId="4" fontId="8" fillId="0" borderId="6" xfId="1" applyNumberFormat="1" applyFont="1" applyFill="1" applyBorder="1" applyAlignment="1" applyProtection="1">
      <alignment horizontal="center" vertical="center" wrapText="1"/>
    </xf>
    <xf numFmtId="0" fontId="9" fillId="4" borderId="23" xfId="1" applyFont="1" applyFill="1" applyBorder="1" applyAlignment="1" applyProtection="1">
      <alignment horizontal="center" vertical="center"/>
    </xf>
    <xf numFmtId="0" fontId="9" fillId="4" borderId="1" xfId="1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left" vertical="center" wrapText="1"/>
    </xf>
    <xf numFmtId="0" fontId="9" fillId="4" borderId="1" xfId="5" applyFont="1" applyFill="1" applyBorder="1" applyAlignment="1" applyProtection="1">
      <alignment horizontal="center" vertical="center" wrapText="1"/>
    </xf>
    <xf numFmtId="3" fontId="9" fillId="4" borderId="1" xfId="5" applyNumberFormat="1" applyFont="1" applyFill="1" applyBorder="1" applyAlignment="1" applyProtection="1">
      <alignment horizontal="center" vertical="center"/>
    </xf>
    <xf numFmtId="0" fontId="8" fillId="0" borderId="23" xfId="1" applyFont="1" applyFill="1" applyBorder="1" applyAlignment="1" applyProtection="1">
      <alignment horizontal="center" vertical="center"/>
    </xf>
    <xf numFmtId="0" fontId="8" fillId="0" borderId="1" xfId="1" applyFont="1" applyFill="1" applyBorder="1" applyAlignment="1" applyProtection="1">
      <alignment horizontal="center" vertical="center"/>
    </xf>
    <xf numFmtId="164" fontId="8" fillId="0" borderId="1" xfId="0" applyNumberFormat="1" applyFont="1" applyFill="1" applyBorder="1" applyAlignment="1" applyProtection="1">
      <alignment vertical="center" wrapText="1"/>
    </xf>
    <xf numFmtId="49" fontId="9" fillId="0" borderId="1" xfId="1" applyNumberFormat="1" applyFont="1" applyFill="1" applyBorder="1" applyAlignment="1" applyProtection="1">
      <alignment horizontal="center" vertical="center"/>
    </xf>
    <xf numFmtId="3" fontId="8" fillId="0" borderId="1" xfId="5" applyNumberFormat="1" applyFont="1" applyFill="1" applyBorder="1" applyAlignment="1" applyProtection="1">
      <alignment horizontal="center" vertical="center"/>
    </xf>
    <xf numFmtId="0" fontId="8" fillId="0" borderId="5" xfId="1" applyFont="1" applyFill="1" applyBorder="1" applyAlignment="1" applyProtection="1">
      <alignment horizontal="center" vertical="center" wrapText="1"/>
    </xf>
    <xf numFmtId="0" fontId="8" fillId="0" borderId="1" xfId="5" applyFont="1" applyFill="1" applyBorder="1" applyAlignment="1" applyProtection="1">
      <alignment horizontal="center" vertical="center" wrapText="1"/>
    </xf>
    <xf numFmtId="4" fontId="8" fillId="0" borderId="1" xfId="0" applyNumberFormat="1" applyFont="1" applyFill="1" applyBorder="1" applyAlignment="1" applyProtection="1">
      <alignment horizontal="left" vertical="center" wrapText="1"/>
    </xf>
    <xf numFmtId="4" fontId="8" fillId="0" borderId="1" xfId="0" applyNumberFormat="1" applyFont="1" applyFill="1" applyBorder="1" applyAlignment="1" applyProtection="1">
      <alignment wrapText="1"/>
    </xf>
    <xf numFmtId="49" fontId="9" fillId="7" borderId="37" xfId="0" applyNumberFormat="1" applyFont="1" applyFill="1" applyBorder="1" applyAlignment="1" applyProtection="1">
      <alignment vertical="center"/>
    </xf>
    <xf numFmtId="49" fontId="9" fillId="7" borderId="38" xfId="0" applyNumberFormat="1" applyFont="1" applyFill="1" applyBorder="1" applyAlignment="1" applyProtection="1">
      <alignment vertical="center"/>
    </xf>
    <xf numFmtId="49" fontId="9" fillId="7" borderId="39" xfId="0" applyNumberFormat="1" applyFont="1" applyFill="1" applyBorder="1" applyAlignment="1" applyProtection="1">
      <alignment vertical="center"/>
    </xf>
    <xf numFmtId="49" fontId="21" fillId="7" borderId="38" xfId="0" applyNumberFormat="1" applyFont="1" applyFill="1" applyBorder="1" applyAlignment="1" applyProtection="1">
      <alignment horizontal="center" vertical="center"/>
    </xf>
    <xf numFmtId="49" fontId="21" fillId="7" borderId="38" xfId="0" applyNumberFormat="1" applyFont="1" applyFill="1" applyBorder="1" applyAlignment="1" applyProtection="1">
      <alignment vertical="center"/>
    </xf>
    <xf numFmtId="49" fontId="21" fillId="7" borderId="40" xfId="0" applyNumberFormat="1" applyFont="1" applyFill="1" applyBorder="1" applyAlignment="1" applyProtection="1">
      <alignment vertical="center"/>
    </xf>
    <xf numFmtId="0" fontId="4" fillId="0" borderId="0" xfId="1" applyFont="1" applyAlignment="1" applyProtection="1">
      <alignment horizontal="center" vertical="center"/>
    </xf>
    <xf numFmtId="0" fontId="4" fillId="0" borderId="0" xfId="1" applyFont="1" applyAlignment="1" applyProtection="1">
      <alignment vertical="center"/>
    </xf>
    <xf numFmtId="0" fontId="4" fillId="0" borderId="0" xfId="1" applyFont="1" applyAlignment="1" applyProtection="1">
      <alignment vertical="center" wrapText="1"/>
    </xf>
    <xf numFmtId="0" fontId="4" fillId="0" borderId="0" xfId="1" applyFont="1" applyAlignment="1" applyProtection="1">
      <alignment horizontal="right" vertical="center"/>
    </xf>
    <xf numFmtId="49" fontId="8" fillId="0" borderId="0" xfId="0" applyNumberFormat="1" applyFont="1" applyAlignment="1" applyProtection="1">
      <alignment horizontal="left" vertical="center" wrapText="1"/>
    </xf>
    <xf numFmtId="49" fontId="8" fillId="0" borderId="0" xfId="0" applyNumberFormat="1" applyFont="1" applyAlignment="1" applyProtection="1">
      <alignment horizontal="left" vertical="center"/>
    </xf>
    <xf numFmtId="0" fontId="19" fillId="0" borderId="0" xfId="0" applyFont="1" applyProtection="1"/>
    <xf numFmtId="0" fontId="22" fillId="0" borderId="0" xfId="0" applyFont="1" applyProtection="1"/>
    <xf numFmtId="0" fontId="21" fillId="0" borderId="0" xfId="0" applyFont="1" applyProtection="1"/>
    <xf numFmtId="0" fontId="4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4" fontId="4" fillId="0" borderId="0" xfId="0" applyNumberFormat="1" applyFont="1" applyAlignment="1" applyProtection="1">
      <alignment vertical="center"/>
      <protection locked="0"/>
    </xf>
    <xf numFmtId="0" fontId="21" fillId="8" borderId="56" xfId="0" applyFont="1" applyFill="1" applyBorder="1" applyAlignment="1" applyProtection="1">
      <alignment horizontal="center" vertical="center" wrapText="1"/>
      <protection locked="0"/>
    </xf>
    <xf numFmtId="0" fontId="21" fillId="8" borderId="6" xfId="0" applyFont="1" applyFill="1" applyBorder="1" applyAlignment="1" applyProtection="1">
      <alignment horizontal="center" vertical="center" wrapText="1"/>
      <protection locked="0"/>
    </xf>
    <xf numFmtId="4" fontId="9" fillId="0" borderId="39" xfId="0" applyNumberFormat="1" applyFont="1" applyBorder="1" applyAlignment="1" applyProtection="1">
      <alignment vertical="center"/>
      <protection locked="0"/>
    </xf>
    <xf numFmtId="4" fontId="9" fillId="0" borderId="6" xfId="0" applyNumberFormat="1" applyFont="1" applyBorder="1" applyAlignment="1" applyProtection="1">
      <alignment vertical="center"/>
      <protection locked="0"/>
    </xf>
    <xf numFmtId="4" fontId="9" fillId="0" borderId="6" xfId="0" applyNumberFormat="1" applyFont="1" applyBorder="1" applyAlignment="1" applyProtection="1">
      <alignment vertical="center" wrapText="1"/>
      <protection locked="0"/>
    </xf>
    <xf numFmtId="4" fontId="9" fillId="0" borderId="6" xfId="0" applyNumberFormat="1" applyFont="1" applyFill="1" applyBorder="1" applyAlignment="1" applyProtection="1">
      <alignment vertical="center"/>
      <protection locked="0"/>
    </xf>
    <xf numFmtId="4" fontId="8" fillId="0" borderId="6" xfId="0" applyNumberFormat="1" applyFont="1" applyFill="1" applyBorder="1" applyAlignment="1" applyProtection="1">
      <alignment vertical="center"/>
      <protection locked="0"/>
    </xf>
    <xf numFmtId="4" fontId="4" fillId="0" borderId="6" xfId="0" applyNumberFormat="1" applyFont="1" applyFill="1" applyBorder="1" applyAlignment="1" applyProtection="1">
      <alignment vertical="center"/>
      <protection locked="0"/>
    </xf>
    <xf numFmtId="4" fontId="8" fillId="2" borderId="6" xfId="0" applyNumberFormat="1" applyFont="1" applyFill="1" applyBorder="1" applyAlignment="1" applyProtection="1">
      <alignment vertical="center"/>
      <protection locked="0"/>
    </xf>
    <xf numFmtId="4" fontId="4" fillId="0" borderId="6" xfId="0" applyNumberFormat="1" applyFont="1" applyBorder="1" applyAlignment="1" applyProtection="1">
      <alignment vertical="center"/>
      <protection locked="0"/>
    </xf>
    <xf numFmtId="4" fontId="4" fillId="0" borderId="57" xfId="0" applyNumberFormat="1" applyFont="1" applyBorder="1" applyAlignment="1" applyProtection="1">
      <alignment vertical="center"/>
      <protection locked="0"/>
    </xf>
    <xf numFmtId="0" fontId="8" fillId="0" borderId="41" xfId="0" applyFont="1" applyBorder="1" applyAlignment="1" applyProtection="1">
      <alignment horizontal="center" vertical="center" wrapText="1"/>
      <protection locked="0"/>
    </xf>
    <xf numFmtId="0" fontId="8" fillId="0" borderId="42" xfId="0" applyFont="1" applyBorder="1" applyAlignment="1" applyProtection="1">
      <alignment horizontal="center" vertical="center" wrapText="1"/>
      <protection locked="0"/>
    </xf>
    <xf numFmtId="0" fontId="8" fillId="0" borderId="43" xfId="0" applyFont="1" applyBorder="1" applyAlignment="1" applyProtection="1">
      <alignment vertical="center" wrapText="1"/>
      <protection locked="0"/>
    </xf>
    <xf numFmtId="0" fontId="8" fillId="0" borderId="44" xfId="0" applyFont="1" applyBorder="1" applyAlignment="1" applyProtection="1">
      <alignment vertical="center" wrapText="1"/>
      <protection locked="0"/>
    </xf>
    <xf numFmtId="0" fontId="8" fillId="0" borderId="44" xfId="0" applyFont="1" applyBorder="1" applyProtection="1">
      <protection locked="0"/>
    </xf>
    <xf numFmtId="0" fontId="8" fillId="0" borderId="45" xfId="0" applyFont="1" applyBorder="1" applyAlignment="1" applyProtection="1">
      <alignment vertical="center" wrapText="1"/>
      <protection locked="0"/>
    </xf>
    <xf numFmtId="0" fontId="19" fillId="0" borderId="4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Protection="1">
      <protection locked="0"/>
    </xf>
    <xf numFmtId="0" fontId="21" fillId="0" borderId="2" xfId="0" applyFont="1" applyBorder="1" applyProtection="1">
      <protection locked="0"/>
    </xf>
    <xf numFmtId="0" fontId="8" fillId="0" borderId="46" xfId="0" applyFont="1" applyBorder="1" applyAlignment="1" applyProtection="1">
      <alignment horizontal="center" vertical="center" wrapText="1"/>
      <protection locked="0"/>
    </xf>
    <xf numFmtId="0" fontId="8" fillId="0" borderId="47" xfId="0" applyFont="1" applyBorder="1" applyAlignment="1" applyProtection="1">
      <alignment horizontal="center" vertical="center" wrapText="1"/>
      <protection locked="0"/>
    </xf>
    <xf numFmtId="0" fontId="8" fillId="0" borderId="48" xfId="0" applyFont="1" applyBorder="1" applyAlignment="1" applyProtection="1">
      <alignment vertical="center" wrapText="1"/>
      <protection locked="0"/>
    </xf>
    <xf numFmtId="0" fontId="8" fillId="0" borderId="49" xfId="0" applyFont="1" applyBorder="1" applyAlignment="1" applyProtection="1">
      <alignment vertical="center" wrapText="1"/>
      <protection locked="0"/>
    </xf>
    <xf numFmtId="0" fontId="8" fillId="0" borderId="49" xfId="0" applyFont="1" applyBorder="1" applyProtection="1">
      <protection locked="0"/>
    </xf>
    <xf numFmtId="0" fontId="8" fillId="0" borderId="50" xfId="0" applyFont="1" applyBorder="1" applyAlignment="1" applyProtection="1">
      <alignment vertical="center" wrapText="1"/>
      <protection locked="0"/>
    </xf>
    <xf numFmtId="0" fontId="8" fillId="0" borderId="48" xfId="0" applyFont="1" applyBorder="1" applyAlignment="1" applyProtection="1">
      <alignment horizontal="left" vertical="center" wrapText="1"/>
      <protection locked="0"/>
    </xf>
    <xf numFmtId="0" fontId="8" fillId="0" borderId="49" xfId="0" applyFont="1" applyBorder="1" applyAlignment="1" applyProtection="1">
      <alignment horizontal="left" vertical="center" wrapText="1"/>
      <protection locked="0"/>
    </xf>
    <xf numFmtId="0" fontId="8" fillId="0" borderId="51" xfId="0" applyFont="1" applyBorder="1" applyAlignment="1" applyProtection="1">
      <alignment horizontal="center" vertical="center" wrapText="1"/>
      <protection locked="0"/>
    </xf>
    <xf numFmtId="0" fontId="8" fillId="0" borderId="52" xfId="0" applyFont="1" applyBorder="1" applyAlignment="1" applyProtection="1">
      <alignment horizontal="center" vertical="center" wrapText="1"/>
      <protection locked="0"/>
    </xf>
    <xf numFmtId="0" fontId="8" fillId="0" borderId="35" xfId="0" applyFont="1" applyBorder="1" applyAlignment="1" applyProtection="1">
      <alignment vertical="center" wrapText="1"/>
      <protection locked="0"/>
    </xf>
    <xf numFmtId="0" fontId="8" fillId="0" borderId="53" xfId="0" applyFont="1" applyBorder="1" applyAlignment="1" applyProtection="1">
      <alignment vertical="center" wrapText="1"/>
      <protection locked="0"/>
    </xf>
    <xf numFmtId="0" fontId="8" fillId="0" borderId="53" xfId="0" applyFont="1" applyBorder="1" applyProtection="1">
      <protection locked="0"/>
    </xf>
    <xf numFmtId="0" fontId="8" fillId="0" borderId="54" xfId="0" applyFont="1" applyBorder="1" applyAlignment="1" applyProtection="1">
      <alignment vertical="center" wrapText="1"/>
      <protection locked="0"/>
    </xf>
    <xf numFmtId="0" fontId="19" fillId="0" borderId="55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Protection="1">
      <protection locked="0"/>
    </xf>
    <xf numFmtId="0" fontId="21" fillId="0" borderId="31" xfId="0" applyFont="1" applyBorder="1" applyProtection="1">
      <protection locked="0"/>
    </xf>
    <xf numFmtId="4" fontId="9" fillId="0" borderId="6" xfId="0" applyNumberFormat="1" applyFont="1" applyFill="1" applyBorder="1" applyAlignment="1" applyProtection="1">
      <alignment vertical="center" wrapText="1"/>
      <protection locked="0"/>
    </xf>
  </cellXfs>
  <cellStyles count="21">
    <cellStyle name="Обычный" xfId="0" builtinId="0"/>
    <cellStyle name="Обычный 15" xfId="12" xr:uid="{00000000-0005-0000-0000-000001000000}"/>
    <cellStyle name="Обычный 2" xfId="1" xr:uid="{00000000-0005-0000-0000-000002000000}"/>
    <cellStyle name="Обычный 2 2" xfId="4" xr:uid="{00000000-0005-0000-0000-000003000000}"/>
    <cellStyle name="Обычный 3" xfId="7" xr:uid="{00000000-0005-0000-0000-000004000000}"/>
    <cellStyle name="Обычный 3 2" xfId="5" xr:uid="{00000000-0005-0000-0000-000005000000}"/>
    <cellStyle name="Обычный 3 2 2" xfId="14" xr:uid="{00000000-0005-0000-0000-000006000000}"/>
    <cellStyle name="Обычный 3 3" xfId="20" xr:uid="{00000000-0005-0000-0000-000007000000}"/>
    <cellStyle name="Обычный 3 4" xfId="13" xr:uid="{00000000-0005-0000-0000-000008000000}"/>
    <cellStyle name="Обычный 4" xfId="6" xr:uid="{00000000-0005-0000-0000-000009000000}"/>
    <cellStyle name="Обычный 4 2" xfId="15" xr:uid="{00000000-0005-0000-0000-00000A000000}"/>
    <cellStyle name="Обычный 5" xfId="8" xr:uid="{00000000-0005-0000-0000-00000B000000}"/>
    <cellStyle name="Обычный 6" xfId="9" xr:uid="{00000000-0005-0000-0000-00000C000000}"/>
    <cellStyle name="Финансовый" xfId="3" builtinId="3"/>
    <cellStyle name="Финансовый 2" xfId="2" xr:uid="{00000000-0005-0000-0000-00000E000000}"/>
    <cellStyle name="Финансовый 2 2" xfId="17" xr:uid="{00000000-0005-0000-0000-00000F000000}"/>
    <cellStyle name="Финансовый 2 3" xfId="18" xr:uid="{00000000-0005-0000-0000-000010000000}"/>
    <cellStyle name="Финансовый 2 4" xfId="10" xr:uid="{00000000-0005-0000-0000-000011000000}"/>
    <cellStyle name="Финансовый 3" xfId="16" xr:uid="{00000000-0005-0000-0000-000012000000}"/>
    <cellStyle name="Финансовый 4" xfId="19" xr:uid="{00000000-0005-0000-0000-000013000000}"/>
    <cellStyle name="Финансовый 5" xfId="11" xr:uid="{00000000-0005-0000-0000-000014000000}"/>
  </cellStyles>
  <dxfs count="0"/>
  <tableStyles count="0" defaultTableStyle="TableStyleMedium2" defaultPivotStyle="PivotStyleLight16"/>
  <colors>
    <mruColors>
      <color rgb="FF66FFFF"/>
      <color rgb="FF95B3D7"/>
      <color rgb="FF0000CC"/>
      <color rgb="FF5B89C1"/>
      <color rgb="FF4274B0"/>
      <color rgb="FF7199C9"/>
      <color rgb="FF5887C0"/>
      <color rgb="FFCCCCFF"/>
      <color rgb="FFFF99FF"/>
      <color rgb="FFD7E2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2"/>
  <sheetViews>
    <sheetView view="pageBreakPreview" topLeftCell="A175" zoomScale="90" zoomScaleNormal="85" zoomScaleSheetLayoutView="90" workbookViewId="0">
      <selection activeCell="L185" sqref="L185"/>
    </sheetView>
  </sheetViews>
  <sheetFormatPr defaultColWidth="9.140625" defaultRowHeight="15" x14ac:dyDescent="0.25"/>
  <cols>
    <col min="1" max="1" width="9.5703125" style="190" customWidth="1"/>
    <col min="2" max="2" width="16.42578125" style="191" customWidth="1"/>
    <col min="3" max="3" width="42.85546875" style="192" customWidth="1"/>
    <col min="4" max="4" width="17" style="190" customWidth="1"/>
    <col min="5" max="5" width="9.7109375" style="191" customWidth="1"/>
    <col min="6" max="6" width="9.5703125" style="191" customWidth="1"/>
    <col min="7" max="7" width="10.7109375" style="191" customWidth="1"/>
    <col min="8" max="9" width="13.7109375" style="191" customWidth="1"/>
    <col min="10" max="10" width="14.7109375" style="193" customWidth="1"/>
    <col min="11" max="11" width="13.28515625" style="191" customWidth="1"/>
    <col min="12" max="12" width="14.7109375" style="191" customWidth="1"/>
    <col min="13" max="13" width="17.28515625" style="191" customWidth="1"/>
    <col min="14" max="14" width="2.7109375" style="77" customWidth="1"/>
    <col min="15" max="15" width="62.140625" style="199" customWidth="1"/>
    <col min="16" max="16" width="2.7109375" style="77" customWidth="1"/>
    <col min="17" max="16384" width="9.140625" style="77"/>
  </cols>
  <sheetData>
    <row r="1" spans="1:16" ht="15.75" x14ac:dyDescent="0.2">
      <c r="A1" s="76"/>
      <c r="B1" s="76"/>
      <c r="C1" s="76"/>
      <c r="D1" s="76"/>
      <c r="E1" s="76"/>
      <c r="F1" s="76"/>
      <c r="G1" s="76"/>
      <c r="H1" s="76"/>
      <c r="I1" s="77"/>
      <c r="J1" s="78"/>
      <c r="K1" s="79"/>
      <c r="L1" s="79"/>
      <c r="M1" s="80" t="s">
        <v>55</v>
      </c>
    </row>
    <row r="2" spans="1:16" ht="15.75" customHeight="1" x14ac:dyDescent="0.2">
      <c r="A2" s="76"/>
      <c r="B2" s="76"/>
      <c r="C2" s="76"/>
      <c r="D2" s="76"/>
      <c r="E2" s="76"/>
      <c r="F2" s="76"/>
      <c r="G2" s="76"/>
      <c r="H2" s="76"/>
      <c r="I2" s="77"/>
      <c r="J2" s="78"/>
      <c r="K2" s="79"/>
      <c r="L2" s="79"/>
      <c r="M2" s="80" t="s">
        <v>56</v>
      </c>
    </row>
    <row r="3" spans="1:16" ht="15.75" customHeight="1" x14ac:dyDescent="0.2">
      <c r="A3" s="76"/>
      <c r="B3" s="76"/>
      <c r="C3" s="76"/>
      <c r="D3" s="76"/>
      <c r="E3" s="76"/>
      <c r="F3" s="76"/>
      <c r="G3" s="76"/>
      <c r="H3" s="76"/>
      <c r="I3" s="77"/>
      <c r="J3" s="78"/>
      <c r="K3" s="79"/>
      <c r="L3" s="79"/>
      <c r="M3" s="80"/>
    </row>
    <row r="4" spans="1:16" s="83" customFormat="1" ht="20.25" x14ac:dyDescent="0.25">
      <c r="A4" s="81" t="s">
        <v>57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2"/>
      <c r="O4" s="200"/>
      <c r="P4" s="82"/>
    </row>
    <row r="5" spans="1:16" ht="18.75" customHeight="1" x14ac:dyDescent="0.25">
      <c r="A5" s="84" t="s">
        <v>54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</row>
    <row r="6" spans="1:16" ht="15.75" x14ac:dyDescent="0.25">
      <c r="A6" s="85" t="s">
        <v>53</v>
      </c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</row>
    <row r="7" spans="1:16" ht="16.5" thickBot="1" x14ac:dyDescent="0.3">
      <c r="A7" s="86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6" ht="15" customHeight="1" x14ac:dyDescent="0.25">
      <c r="A8" s="87" t="s">
        <v>137</v>
      </c>
      <c r="B8" s="88" t="s">
        <v>0</v>
      </c>
      <c r="C8" s="89" t="s">
        <v>4</v>
      </c>
      <c r="D8" s="89" t="s">
        <v>1</v>
      </c>
      <c r="E8" s="89" t="s">
        <v>5</v>
      </c>
      <c r="F8" s="90" t="s">
        <v>6</v>
      </c>
      <c r="G8" s="91" t="s">
        <v>3</v>
      </c>
      <c r="H8" s="92" t="s">
        <v>138</v>
      </c>
      <c r="I8" s="93"/>
      <c r="J8" s="93" t="s">
        <v>139</v>
      </c>
      <c r="K8" s="93" t="s">
        <v>140</v>
      </c>
      <c r="L8" s="93"/>
      <c r="M8" s="94" t="s">
        <v>141</v>
      </c>
      <c r="O8" s="201" t="s">
        <v>155</v>
      </c>
    </row>
    <row r="9" spans="1:16" ht="36.75" customHeight="1" thickBot="1" x14ac:dyDescent="0.3">
      <c r="A9" s="95"/>
      <c r="B9" s="96"/>
      <c r="C9" s="97"/>
      <c r="D9" s="97"/>
      <c r="E9" s="97"/>
      <c r="F9" s="98"/>
      <c r="G9" s="99"/>
      <c r="H9" s="100" t="s">
        <v>2</v>
      </c>
      <c r="I9" s="101" t="s">
        <v>7</v>
      </c>
      <c r="J9" s="102"/>
      <c r="K9" s="101" t="s">
        <v>2</v>
      </c>
      <c r="L9" s="101" t="s">
        <v>7</v>
      </c>
      <c r="M9" s="103"/>
      <c r="O9" s="202"/>
    </row>
    <row r="10" spans="1:16" s="106" customFormat="1" ht="12.75" x14ac:dyDescent="0.25">
      <c r="A10" s="249">
        <v>1</v>
      </c>
      <c r="B10" s="250">
        <v>2</v>
      </c>
      <c r="C10" s="250">
        <v>3</v>
      </c>
      <c r="D10" s="250">
        <v>4</v>
      </c>
      <c r="E10" s="250">
        <v>5</v>
      </c>
      <c r="F10" s="251">
        <v>6</v>
      </c>
      <c r="G10" s="252">
        <v>9</v>
      </c>
      <c r="H10" s="253" t="s">
        <v>26</v>
      </c>
      <c r="I10" s="252" t="s">
        <v>27</v>
      </c>
      <c r="J10" s="105" t="s">
        <v>28</v>
      </c>
      <c r="K10" s="104" t="s">
        <v>29</v>
      </c>
      <c r="L10" s="105" t="s">
        <v>30</v>
      </c>
      <c r="M10" s="104" t="s">
        <v>31</v>
      </c>
      <c r="O10" s="202"/>
    </row>
    <row r="11" spans="1:16" s="117" customFormat="1" ht="12.75" x14ac:dyDescent="0.25">
      <c r="A11" s="254">
        <f>ROW()-10</f>
        <v>1</v>
      </c>
      <c r="B11" s="107" t="s">
        <v>84</v>
      </c>
      <c r="C11" s="108" t="s">
        <v>85</v>
      </c>
      <c r="D11" s="109"/>
      <c r="E11" s="110"/>
      <c r="F11" s="111"/>
      <c r="G11" s="112"/>
      <c r="H11" s="113"/>
      <c r="I11" s="114"/>
      <c r="J11" s="115"/>
      <c r="K11" s="115"/>
      <c r="L11" s="115"/>
      <c r="M11" s="116"/>
      <c r="O11" s="203"/>
    </row>
    <row r="12" spans="1:16" s="117" customFormat="1" ht="12.75" x14ac:dyDescent="0.25">
      <c r="A12" s="255">
        <f>ROW()-10</f>
        <v>2</v>
      </c>
      <c r="B12" s="118" t="s">
        <v>84</v>
      </c>
      <c r="C12" s="119" t="s">
        <v>86</v>
      </c>
      <c r="D12" s="120"/>
      <c r="E12" s="121"/>
      <c r="F12" s="122"/>
      <c r="G12" s="123"/>
      <c r="H12" s="124"/>
      <c r="I12" s="125"/>
      <c r="J12" s="126"/>
      <c r="K12" s="126"/>
      <c r="L12" s="126"/>
      <c r="M12" s="127"/>
      <c r="O12" s="203"/>
    </row>
    <row r="13" spans="1:16" s="138" customFormat="1" ht="25.5" customHeight="1" x14ac:dyDescent="0.25">
      <c r="A13" s="256">
        <f>ROW()-10</f>
        <v>3</v>
      </c>
      <c r="B13" s="128" t="s">
        <v>87</v>
      </c>
      <c r="C13" s="129" t="s">
        <v>88</v>
      </c>
      <c r="D13" s="130"/>
      <c r="E13" s="131"/>
      <c r="F13" s="132"/>
      <c r="G13" s="133"/>
      <c r="H13" s="134"/>
      <c r="I13" s="135"/>
      <c r="J13" s="136"/>
      <c r="K13" s="136"/>
      <c r="L13" s="136"/>
      <c r="M13" s="137"/>
      <c r="O13" s="204"/>
    </row>
    <row r="14" spans="1:16" s="117" customFormat="1" ht="25.5" x14ac:dyDescent="0.25">
      <c r="A14" s="257">
        <f t="shared" ref="A14:A99" si="0">ROW()-10</f>
        <v>4</v>
      </c>
      <c r="B14" s="139" t="s">
        <v>89</v>
      </c>
      <c r="C14" s="140" t="s">
        <v>90</v>
      </c>
      <c r="D14" s="141" t="s">
        <v>22</v>
      </c>
      <c r="E14" s="142" t="s">
        <v>8</v>
      </c>
      <c r="F14" s="143">
        <v>1</v>
      </c>
      <c r="G14" s="144">
        <f>31.22+16.51+15.8+20.6+3.04+13.25+7.81</f>
        <v>108.23</v>
      </c>
      <c r="H14" s="236"/>
      <c r="I14" s="237"/>
      <c r="J14" s="145">
        <f>I14</f>
        <v>0</v>
      </c>
      <c r="K14" s="145"/>
      <c r="L14" s="145">
        <f>G14*I14</f>
        <v>0</v>
      </c>
      <c r="M14" s="146">
        <f>L14</f>
        <v>0</v>
      </c>
      <c r="O14" s="203"/>
    </row>
    <row r="15" spans="1:16" s="155" customFormat="1" ht="25.5" x14ac:dyDescent="0.25">
      <c r="A15" s="258">
        <f t="shared" si="0"/>
        <v>5</v>
      </c>
      <c r="B15" s="147"/>
      <c r="C15" s="148" t="s">
        <v>91</v>
      </c>
      <c r="D15" s="149" t="s">
        <v>25</v>
      </c>
      <c r="E15" s="150" t="s">
        <v>8</v>
      </c>
      <c r="F15" s="151">
        <v>1.05</v>
      </c>
      <c r="G15" s="152">
        <f>(31.22+16.51+15.8+20.6)*F15*2</f>
        <v>176.67</v>
      </c>
      <c r="H15" s="238"/>
      <c r="I15" s="239"/>
      <c r="J15" s="153">
        <f>H15</f>
        <v>0</v>
      </c>
      <c r="K15" s="153">
        <f>G15*H15</f>
        <v>0</v>
      </c>
      <c r="L15" s="153"/>
      <c r="M15" s="154">
        <f>K15</f>
        <v>0</v>
      </c>
      <c r="O15" s="205"/>
    </row>
    <row r="16" spans="1:16" s="155" customFormat="1" ht="25.5" x14ac:dyDescent="0.25">
      <c r="A16" s="258">
        <f t="shared" si="0"/>
        <v>6</v>
      </c>
      <c r="B16" s="147" t="s">
        <v>93</v>
      </c>
      <c r="C16" s="148" t="s">
        <v>92</v>
      </c>
      <c r="D16" s="149" t="s">
        <v>25</v>
      </c>
      <c r="E16" s="150" t="s">
        <v>8</v>
      </c>
      <c r="F16" s="151">
        <v>1.05</v>
      </c>
      <c r="G16" s="152">
        <f>3.04*F16*2</f>
        <v>6.38</v>
      </c>
      <c r="H16" s="238"/>
      <c r="I16" s="239"/>
      <c r="J16" s="153">
        <f t="shared" ref="J16:J27" si="1">H16</f>
        <v>0</v>
      </c>
      <c r="K16" s="153">
        <f t="shared" ref="K16:K27" si="2">G16*H16</f>
        <v>0</v>
      </c>
      <c r="L16" s="153"/>
      <c r="M16" s="154">
        <f t="shared" ref="M16:M27" si="3">K16</f>
        <v>0</v>
      </c>
      <c r="O16" s="205"/>
    </row>
    <row r="17" spans="1:15" s="155" customFormat="1" ht="25.5" x14ac:dyDescent="0.25">
      <c r="A17" s="258">
        <f t="shared" si="0"/>
        <v>7</v>
      </c>
      <c r="B17" s="147" t="s">
        <v>94</v>
      </c>
      <c r="C17" s="148" t="s">
        <v>95</v>
      </c>
      <c r="D17" s="149" t="s">
        <v>25</v>
      </c>
      <c r="E17" s="150" t="s">
        <v>8</v>
      </c>
      <c r="F17" s="151">
        <v>1.05</v>
      </c>
      <c r="G17" s="152">
        <f>(13.25+7.81)*F17*2</f>
        <v>44.23</v>
      </c>
      <c r="H17" s="238"/>
      <c r="I17" s="239"/>
      <c r="J17" s="153">
        <f t="shared" si="1"/>
        <v>0</v>
      </c>
      <c r="K17" s="153">
        <f t="shared" si="2"/>
        <v>0</v>
      </c>
      <c r="L17" s="153"/>
      <c r="M17" s="154">
        <f t="shared" si="3"/>
        <v>0</v>
      </c>
      <c r="O17" s="205"/>
    </row>
    <row r="18" spans="1:15" s="155" customFormat="1" ht="25.5" x14ac:dyDescent="0.25">
      <c r="A18" s="258">
        <f t="shared" si="0"/>
        <v>8</v>
      </c>
      <c r="B18" s="147"/>
      <c r="C18" s="148" t="s">
        <v>39</v>
      </c>
      <c r="D18" s="149" t="s">
        <v>25</v>
      </c>
      <c r="E18" s="150" t="s">
        <v>12</v>
      </c>
      <c r="F18" s="151">
        <v>2.9</v>
      </c>
      <c r="G18" s="152">
        <f>$G$14*F18</f>
        <v>313.87</v>
      </c>
      <c r="H18" s="238"/>
      <c r="I18" s="239"/>
      <c r="J18" s="153">
        <f t="shared" si="1"/>
        <v>0</v>
      </c>
      <c r="K18" s="153">
        <f t="shared" si="2"/>
        <v>0</v>
      </c>
      <c r="L18" s="153"/>
      <c r="M18" s="154">
        <f t="shared" si="3"/>
        <v>0</v>
      </c>
      <c r="O18" s="205"/>
    </row>
    <row r="19" spans="1:15" s="155" customFormat="1" ht="25.5" x14ac:dyDescent="0.25">
      <c r="A19" s="258">
        <f t="shared" si="0"/>
        <v>9</v>
      </c>
      <c r="B19" s="147"/>
      <c r="C19" s="148" t="s">
        <v>35</v>
      </c>
      <c r="D19" s="149" t="s">
        <v>25</v>
      </c>
      <c r="E19" s="150" t="s">
        <v>12</v>
      </c>
      <c r="F19" s="151">
        <v>1.35</v>
      </c>
      <c r="G19" s="152">
        <f>$G$14*F19</f>
        <v>146.11000000000001</v>
      </c>
      <c r="H19" s="238"/>
      <c r="I19" s="239"/>
      <c r="J19" s="153">
        <f t="shared" si="1"/>
        <v>0</v>
      </c>
      <c r="K19" s="153">
        <f t="shared" si="2"/>
        <v>0</v>
      </c>
      <c r="L19" s="153"/>
      <c r="M19" s="154">
        <f t="shared" si="3"/>
        <v>0</v>
      </c>
      <c r="O19" s="205"/>
    </row>
    <row r="20" spans="1:15" s="155" customFormat="1" ht="25.5" x14ac:dyDescent="0.25">
      <c r="A20" s="258">
        <f t="shared" si="0"/>
        <v>10</v>
      </c>
      <c r="B20" s="147"/>
      <c r="C20" s="148" t="s">
        <v>40</v>
      </c>
      <c r="D20" s="149" t="s">
        <v>25</v>
      </c>
      <c r="E20" s="150" t="s">
        <v>34</v>
      </c>
      <c r="F20" s="151">
        <v>0.2</v>
      </c>
      <c r="G20" s="152">
        <f>ROUNDUP($G$14*F20,0)</f>
        <v>22</v>
      </c>
      <c r="H20" s="238"/>
      <c r="I20" s="239"/>
      <c r="J20" s="153">
        <f t="shared" si="1"/>
        <v>0</v>
      </c>
      <c r="K20" s="153">
        <f t="shared" si="2"/>
        <v>0</v>
      </c>
      <c r="L20" s="153"/>
      <c r="M20" s="154">
        <f t="shared" si="3"/>
        <v>0</v>
      </c>
      <c r="O20" s="205"/>
    </row>
    <row r="21" spans="1:15" s="155" customFormat="1" ht="25.5" x14ac:dyDescent="0.25">
      <c r="A21" s="258">
        <f t="shared" si="0"/>
        <v>11</v>
      </c>
      <c r="B21" s="147"/>
      <c r="C21" s="148" t="s">
        <v>41</v>
      </c>
      <c r="D21" s="149" t="s">
        <v>25</v>
      </c>
      <c r="E21" s="150" t="s">
        <v>34</v>
      </c>
      <c r="F21" s="151">
        <v>1.7</v>
      </c>
      <c r="G21" s="152">
        <f>ROUNDUP($G$14*F21,0)</f>
        <v>184</v>
      </c>
      <c r="H21" s="238"/>
      <c r="I21" s="239"/>
      <c r="J21" s="153">
        <f t="shared" si="1"/>
        <v>0</v>
      </c>
      <c r="K21" s="153">
        <f t="shared" si="2"/>
        <v>0</v>
      </c>
      <c r="L21" s="153"/>
      <c r="M21" s="154">
        <f t="shared" si="3"/>
        <v>0</v>
      </c>
      <c r="O21" s="205"/>
    </row>
    <row r="22" spans="1:15" s="155" customFormat="1" ht="25.5" x14ac:dyDescent="0.25">
      <c r="A22" s="258">
        <f t="shared" si="0"/>
        <v>12</v>
      </c>
      <c r="B22" s="147"/>
      <c r="C22" s="148" t="s">
        <v>42</v>
      </c>
      <c r="D22" s="149" t="s">
        <v>25</v>
      </c>
      <c r="E22" s="150" t="s">
        <v>34</v>
      </c>
      <c r="F22" s="151">
        <v>0.7</v>
      </c>
      <c r="G22" s="152">
        <f>ROUNDUP($G$14*F22,0)</f>
        <v>76</v>
      </c>
      <c r="H22" s="238"/>
      <c r="I22" s="239"/>
      <c r="J22" s="153">
        <f t="shared" si="1"/>
        <v>0</v>
      </c>
      <c r="K22" s="153">
        <f t="shared" si="2"/>
        <v>0</v>
      </c>
      <c r="L22" s="153"/>
      <c r="M22" s="154">
        <f t="shared" si="3"/>
        <v>0</v>
      </c>
      <c r="O22" s="205"/>
    </row>
    <row r="23" spans="1:15" s="155" customFormat="1" ht="25.5" x14ac:dyDescent="0.25">
      <c r="A23" s="258">
        <f t="shared" si="0"/>
        <v>13</v>
      </c>
      <c r="B23" s="147"/>
      <c r="C23" s="148" t="s">
        <v>43</v>
      </c>
      <c r="D23" s="149" t="s">
        <v>25</v>
      </c>
      <c r="E23" s="150" t="s">
        <v>34</v>
      </c>
      <c r="F23" s="151">
        <v>0.7</v>
      </c>
      <c r="G23" s="152">
        <f>ROUNDUP($G$14*F23,0)</f>
        <v>76</v>
      </c>
      <c r="H23" s="238"/>
      <c r="I23" s="239"/>
      <c r="J23" s="153">
        <f t="shared" si="1"/>
        <v>0</v>
      </c>
      <c r="K23" s="153">
        <f t="shared" si="2"/>
        <v>0</v>
      </c>
      <c r="L23" s="153"/>
      <c r="M23" s="154">
        <f t="shared" si="3"/>
        <v>0</v>
      </c>
      <c r="O23" s="205"/>
    </row>
    <row r="24" spans="1:15" s="155" customFormat="1" ht="25.5" x14ac:dyDescent="0.25">
      <c r="A24" s="258">
        <f t="shared" si="0"/>
        <v>14</v>
      </c>
      <c r="B24" s="147"/>
      <c r="C24" s="148" t="s">
        <v>36</v>
      </c>
      <c r="D24" s="149" t="s">
        <v>25</v>
      </c>
      <c r="E24" s="150" t="s">
        <v>34</v>
      </c>
      <c r="F24" s="151">
        <v>23</v>
      </c>
      <c r="G24" s="152">
        <f>ROUNDUP($G$14*F24*2,0)</f>
        <v>4979</v>
      </c>
      <c r="H24" s="238"/>
      <c r="I24" s="239"/>
      <c r="J24" s="153">
        <f t="shared" si="1"/>
        <v>0</v>
      </c>
      <c r="K24" s="153">
        <f t="shared" si="2"/>
        <v>0</v>
      </c>
      <c r="L24" s="153"/>
      <c r="M24" s="154">
        <f t="shared" si="3"/>
        <v>0</v>
      </c>
      <c r="O24" s="205"/>
    </row>
    <row r="25" spans="1:15" s="155" customFormat="1" ht="25.5" x14ac:dyDescent="0.25">
      <c r="A25" s="258">
        <f t="shared" si="0"/>
        <v>15</v>
      </c>
      <c r="B25" s="147"/>
      <c r="C25" s="148" t="s">
        <v>44</v>
      </c>
      <c r="D25" s="149" t="s">
        <v>25</v>
      </c>
      <c r="E25" s="150" t="s">
        <v>34</v>
      </c>
      <c r="F25" s="151">
        <v>0.7</v>
      </c>
      <c r="G25" s="152">
        <f>ROUNDUP($G$14*F25*2,0)</f>
        <v>152</v>
      </c>
      <c r="H25" s="238"/>
      <c r="I25" s="239"/>
      <c r="J25" s="153">
        <f t="shared" si="1"/>
        <v>0</v>
      </c>
      <c r="K25" s="153">
        <f t="shared" si="2"/>
        <v>0</v>
      </c>
      <c r="L25" s="153"/>
      <c r="M25" s="154">
        <f t="shared" si="3"/>
        <v>0</v>
      </c>
      <c r="O25" s="205"/>
    </row>
    <row r="26" spans="1:15" s="155" customFormat="1" ht="25.5" x14ac:dyDescent="0.25">
      <c r="A26" s="258">
        <f t="shared" si="0"/>
        <v>16</v>
      </c>
      <c r="B26" s="147"/>
      <c r="C26" s="148" t="s">
        <v>37</v>
      </c>
      <c r="D26" s="149" t="s">
        <v>25</v>
      </c>
      <c r="E26" s="150" t="s">
        <v>10</v>
      </c>
      <c r="F26" s="151">
        <v>0.35</v>
      </c>
      <c r="G26" s="152">
        <f>$G$14*F26</f>
        <v>37.880000000000003</v>
      </c>
      <c r="H26" s="238"/>
      <c r="I26" s="239"/>
      <c r="J26" s="153">
        <f t="shared" si="1"/>
        <v>0</v>
      </c>
      <c r="K26" s="153">
        <f t="shared" si="2"/>
        <v>0</v>
      </c>
      <c r="L26" s="153"/>
      <c r="M26" s="154">
        <f t="shared" si="3"/>
        <v>0</v>
      </c>
      <c r="O26" s="205"/>
    </row>
    <row r="27" spans="1:15" s="155" customFormat="1" ht="25.5" x14ac:dyDescent="0.25">
      <c r="A27" s="258">
        <f t="shared" si="0"/>
        <v>17</v>
      </c>
      <c r="B27" s="147"/>
      <c r="C27" s="148" t="s">
        <v>38</v>
      </c>
      <c r="D27" s="149" t="s">
        <v>25</v>
      </c>
      <c r="E27" s="150" t="s">
        <v>12</v>
      </c>
      <c r="F27" s="151">
        <v>1.2</v>
      </c>
      <c r="G27" s="152">
        <f>$G$14*F27</f>
        <v>129.88</v>
      </c>
      <c r="H27" s="238"/>
      <c r="I27" s="239"/>
      <c r="J27" s="153">
        <f t="shared" si="1"/>
        <v>0</v>
      </c>
      <c r="K27" s="153">
        <f t="shared" si="2"/>
        <v>0</v>
      </c>
      <c r="L27" s="153"/>
      <c r="M27" s="154">
        <f t="shared" si="3"/>
        <v>0</v>
      </c>
      <c r="O27" s="205"/>
    </row>
    <row r="28" spans="1:15" s="117" customFormat="1" ht="12.75" x14ac:dyDescent="0.25">
      <c r="A28" s="257">
        <f t="shared" si="0"/>
        <v>18</v>
      </c>
      <c r="B28" s="139" t="s">
        <v>96</v>
      </c>
      <c r="C28" s="156" t="s">
        <v>97</v>
      </c>
      <c r="D28" s="141" t="s">
        <v>22</v>
      </c>
      <c r="E28" s="142" t="s">
        <v>8</v>
      </c>
      <c r="F28" s="143">
        <v>1</v>
      </c>
      <c r="G28" s="144">
        <v>9</v>
      </c>
      <c r="H28" s="236"/>
      <c r="I28" s="237"/>
      <c r="J28" s="145">
        <f>I28</f>
        <v>0</v>
      </c>
      <c r="K28" s="145"/>
      <c r="L28" s="145">
        <f>G28*I28</f>
        <v>0</v>
      </c>
      <c r="M28" s="146">
        <f>L28</f>
        <v>0</v>
      </c>
      <c r="O28" s="203"/>
    </row>
    <row r="29" spans="1:15" s="155" customFormat="1" ht="25.5" x14ac:dyDescent="0.25">
      <c r="A29" s="258">
        <f t="shared" si="0"/>
        <v>19</v>
      </c>
      <c r="B29" s="147"/>
      <c r="C29" s="148" t="s">
        <v>98</v>
      </c>
      <c r="D29" s="149" t="s">
        <v>25</v>
      </c>
      <c r="E29" s="150" t="s">
        <v>12</v>
      </c>
      <c r="F29" s="151">
        <v>1.1000000000000001</v>
      </c>
      <c r="G29" s="152">
        <f>G28*9*F29</f>
        <v>89.1</v>
      </c>
      <c r="H29" s="238"/>
      <c r="I29" s="239"/>
      <c r="J29" s="153">
        <f>H29</f>
        <v>0</v>
      </c>
      <c r="K29" s="153">
        <f>G29*H29</f>
        <v>0</v>
      </c>
      <c r="L29" s="153"/>
      <c r="M29" s="154">
        <f>K29</f>
        <v>0</v>
      </c>
      <c r="O29" s="205"/>
    </row>
    <row r="30" spans="1:15" s="117" customFormat="1" ht="12.75" x14ac:dyDescent="0.25">
      <c r="A30" s="257">
        <f t="shared" si="0"/>
        <v>20</v>
      </c>
      <c r="B30" s="139" t="s">
        <v>99</v>
      </c>
      <c r="C30" s="140" t="s">
        <v>100</v>
      </c>
      <c r="D30" s="141" t="s">
        <v>22</v>
      </c>
      <c r="E30" s="142" t="s">
        <v>8</v>
      </c>
      <c r="F30" s="143">
        <v>1</v>
      </c>
      <c r="G30" s="144">
        <f>39.6+20.1+58.4</f>
        <v>118.1</v>
      </c>
      <c r="H30" s="236"/>
      <c r="I30" s="237"/>
      <c r="J30" s="145">
        <f>I30</f>
        <v>0</v>
      </c>
      <c r="K30" s="145"/>
      <c r="L30" s="145">
        <f>G30*I30</f>
        <v>0</v>
      </c>
      <c r="M30" s="146">
        <f>L30</f>
        <v>0</v>
      </c>
      <c r="O30" s="203"/>
    </row>
    <row r="31" spans="1:15" s="155" customFormat="1" ht="25.5" x14ac:dyDescent="0.25">
      <c r="A31" s="258">
        <f t="shared" si="0"/>
        <v>21</v>
      </c>
      <c r="B31" s="147"/>
      <c r="C31" s="157" t="s">
        <v>13</v>
      </c>
      <c r="D31" s="149" t="s">
        <v>25</v>
      </c>
      <c r="E31" s="150" t="s">
        <v>14</v>
      </c>
      <c r="F31" s="151">
        <v>0.1</v>
      </c>
      <c r="G31" s="152">
        <f>G30*F31</f>
        <v>11.81</v>
      </c>
      <c r="H31" s="238"/>
      <c r="I31" s="239"/>
      <c r="J31" s="153">
        <f t="shared" ref="J31:J33" si="4">H31</f>
        <v>0</v>
      </c>
      <c r="K31" s="153">
        <f t="shared" ref="K31:K33" si="5">G31*H31</f>
        <v>0</v>
      </c>
      <c r="L31" s="153"/>
      <c r="M31" s="154">
        <f t="shared" ref="M31:M33" si="6">K31</f>
        <v>0</v>
      </c>
      <c r="O31" s="205"/>
    </row>
    <row r="32" spans="1:15" s="155" customFormat="1" ht="25.5" x14ac:dyDescent="0.25">
      <c r="A32" s="258">
        <f t="shared" si="0"/>
        <v>22</v>
      </c>
      <c r="B32" s="147"/>
      <c r="C32" s="157" t="s">
        <v>101</v>
      </c>
      <c r="D32" s="149" t="s">
        <v>25</v>
      </c>
      <c r="E32" s="150" t="s">
        <v>10</v>
      </c>
      <c r="F32" s="151">
        <v>1.2</v>
      </c>
      <c r="G32" s="152">
        <f>G30*F32</f>
        <v>141.72</v>
      </c>
      <c r="H32" s="238"/>
      <c r="I32" s="239"/>
      <c r="J32" s="153">
        <f t="shared" si="4"/>
        <v>0</v>
      </c>
      <c r="K32" s="153">
        <f t="shared" si="5"/>
        <v>0</v>
      </c>
      <c r="L32" s="153"/>
      <c r="M32" s="154">
        <f t="shared" si="6"/>
        <v>0</v>
      </c>
      <c r="O32" s="205"/>
    </row>
    <row r="33" spans="1:15" s="155" customFormat="1" ht="25.5" x14ac:dyDescent="0.25">
      <c r="A33" s="258">
        <f t="shared" si="0"/>
        <v>23</v>
      </c>
      <c r="B33" s="147"/>
      <c r="C33" s="148" t="s">
        <v>23</v>
      </c>
      <c r="D33" s="149" t="s">
        <v>25</v>
      </c>
      <c r="E33" s="150" t="s">
        <v>10</v>
      </c>
      <c r="F33" s="151">
        <v>1.7</v>
      </c>
      <c r="G33" s="152">
        <f>G30*F33</f>
        <v>200.77</v>
      </c>
      <c r="H33" s="238"/>
      <c r="I33" s="239"/>
      <c r="J33" s="153">
        <f t="shared" si="4"/>
        <v>0</v>
      </c>
      <c r="K33" s="153">
        <f t="shared" si="5"/>
        <v>0</v>
      </c>
      <c r="L33" s="153"/>
      <c r="M33" s="154">
        <f t="shared" si="6"/>
        <v>0</v>
      </c>
      <c r="O33" s="205"/>
    </row>
    <row r="34" spans="1:15" s="117" customFormat="1" ht="38.25" x14ac:dyDescent="0.25">
      <c r="A34" s="257">
        <f t="shared" si="0"/>
        <v>24</v>
      </c>
      <c r="B34" s="139" t="s">
        <v>102</v>
      </c>
      <c r="C34" s="156" t="s">
        <v>103</v>
      </c>
      <c r="D34" s="141" t="s">
        <v>22</v>
      </c>
      <c r="E34" s="142" t="s">
        <v>8</v>
      </c>
      <c r="F34" s="143">
        <v>1</v>
      </c>
      <c r="G34" s="144">
        <f>39.6+20.1+58.4+9</f>
        <v>127.1</v>
      </c>
      <c r="H34" s="236"/>
      <c r="I34" s="237"/>
      <c r="J34" s="145">
        <f>I34</f>
        <v>0</v>
      </c>
      <c r="K34" s="145"/>
      <c r="L34" s="145">
        <f>G34*I34</f>
        <v>0</v>
      </c>
      <c r="M34" s="146">
        <f>L34</f>
        <v>0</v>
      </c>
      <c r="O34" s="203"/>
    </row>
    <row r="35" spans="1:15" s="155" customFormat="1" ht="25.5" x14ac:dyDescent="0.25">
      <c r="A35" s="258">
        <f t="shared" si="0"/>
        <v>25</v>
      </c>
      <c r="B35" s="147"/>
      <c r="C35" s="148" t="s">
        <v>13</v>
      </c>
      <c r="D35" s="149" t="s">
        <v>25</v>
      </c>
      <c r="E35" s="150" t="s">
        <v>14</v>
      </c>
      <c r="F35" s="151">
        <v>0.1</v>
      </c>
      <c r="G35" s="152">
        <f>G34*F35</f>
        <v>12.71</v>
      </c>
      <c r="H35" s="238"/>
      <c r="I35" s="239"/>
      <c r="J35" s="153">
        <f t="shared" ref="J35:J39" si="7">H35</f>
        <v>0</v>
      </c>
      <c r="K35" s="153">
        <f t="shared" ref="K35:K39" si="8">G35*H35</f>
        <v>0</v>
      </c>
      <c r="L35" s="153"/>
      <c r="M35" s="154">
        <f t="shared" ref="M35:M39" si="9">K35</f>
        <v>0</v>
      </c>
      <c r="O35" s="205"/>
    </row>
    <row r="36" spans="1:15" s="155" customFormat="1" ht="25.5" x14ac:dyDescent="0.25">
      <c r="A36" s="258">
        <f t="shared" si="0"/>
        <v>26</v>
      </c>
      <c r="B36" s="147"/>
      <c r="C36" s="148" t="s">
        <v>104</v>
      </c>
      <c r="D36" s="149" t="s">
        <v>25</v>
      </c>
      <c r="E36" s="150" t="s">
        <v>14</v>
      </c>
      <c r="F36" s="151">
        <v>0.3</v>
      </c>
      <c r="G36" s="152">
        <f>39.6*F36</f>
        <v>11.88</v>
      </c>
      <c r="H36" s="238"/>
      <c r="I36" s="239"/>
      <c r="J36" s="153">
        <f t="shared" si="7"/>
        <v>0</v>
      </c>
      <c r="K36" s="153">
        <f t="shared" si="8"/>
        <v>0</v>
      </c>
      <c r="L36" s="153"/>
      <c r="M36" s="154">
        <f t="shared" si="9"/>
        <v>0</v>
      </c>
      <c r="O36" s="205"/>
    </row>
    <row r="37" spans="1:15" s="155" customFormat="1" ht="25.5" x14ac:dyDescent="0.25">
      <c r="A37" s="258">
        <f t="shared" si="0"/>
        <v>27</v>
      </c>
      <c r="B37" s="147"/>
      <c r="C37" s="148" t="s">
        <v>105</v>
      </c>
      <c r="D37" s="149" t="s">
        <v>25</v>
      </c>
      <c r="E37" s="150" t="s">
        <v>14</v>
      </c>
      <c r="F37" s="151">
        <v>0.3</v>
      </c>
      <c r="G37" s="152">
        <f>20.1*F37</f>
        <v>6.03</v>
      </c>
      <c r="H37" s="238"/>
      <c r="I37" s="239"/>
      <c r="J37" s="153">
        <f t="shared" si="7"/>
        <v>0</v>
      </c>
      <c r="K37" s="153">
        <f t="shared" si="8"/>
        <v>0</v>
      </c>
      <c r="L37" s="153"/>
      <c r="M37" s="154">
        <f t="shared" si="9"/>
        <v>0</v>
      </c>
      <c r="O37" s="205"/>
    </row>
    <row r="38" spans="1:15" s="155" customFormat="1" ht="51" x14ac:dyDescent="0.25">
      <c r="A38" s="258">
        <f t="shared" si="0"/>
        <v>28</v>
      </c>
      <c r="B38" s="158" t="s">
        <v>111</v>
      </c>
      <c r="C38" s="148" t="s">
        <v>106</v>
      </c>
      <c r="D38" s="149" t="s">
        <v>25</v>
      </c>
      <c r="E38" s="150" t="s">
        <v>14</v>
      </c>
      <c r="F38" s="151">
        <v>0.3</v>
      </c>
      <c r="G38" s="152">
        <f>(58.4+(35.78)*0.05)*F38</f>
        <v>18.059999999999999</v>
      </c>
      <c r="H38" s="238"/>
      <c r="I38" s="239"/>
      <c r="J38" s="153">
        <f t="shared" si="7"/>
        <v>0</v>
      </c>
      <c r="K38" s="153">
        <f t="shared" si="8"/>
        <v>0</v>
      </c>
      <c r="L38" s="153"/>
      <c r="M38" s="154">
        <f t="shared" si="9"/>
        <v>0</v>
      </c>
      <c r="O38" s="205"/>
    </row>
    <row r="39" spans="1:15" s="155" customFormat="1" ht="51" x14ac:dyDescent="0.25">
      <c r="A39" s="258">
        <f t="shared" si="0"/>
        <v>29</v>
      </c>
      <c r="B39" s="158" t="s">
        <v>108</v>
      </c>
      <c r="C39" s="148" t="s">
        <v>107</v>
      </c>
      <c r="D39" s="149" t="s">
        <v>25</v>
      </c>
      <c r="E39" s="150" t="s">
        <v>14</v>
      </c>
      <c r="F39" s="151">
        <v>0.3</v>
      </c>
      <c r="G39" s="152">
        <f>(9+13.9*0.42)*F39</f>
        <v>4.45</v>
      </c>
      <c r="H39" s="238"/>
      <c r="I39" s="239"/>
      <c r="J39" s="153">
        <f t="shared" si="7"/>
        <v>0</v>
      </c>
      <c r="K39" s="153">
        <f t="shared" si="8"/>
        <v>0</v>
      </c>
      <c r="L39" s="153"/>
      <c r="M39" s="154">
        <f t="shared" si="9"/>
        <v>0</v>
      </c>
      <c r="O39" s="205"/>
    </row>
    <row r="40" spans="1:15" s="138" customFormat="1" ht="25.5" customHeight="1" x14ac:dyDescent="0.25">
      <c r="A40" s="256">
        <f>ROW()-10</f>
        <v>30</v>
      </c>
      <c r="B40" s="128" t="s">
        <v>110</v>
      </c>
      <c r="C40" s="129" t="s">
        <v>109</v>
      </c>
      <c r="D40" s="130"/>
      <c r="E40" s="131"/>
      <c r="F40" s="132"/>
      <c r="G40" s="133"/>
      <c r="H40" s="240"/>
      <c r="I40" s="241"/>
      <c r="J40" s="136"/>
      <c r="K40" s="136"/>
      <c r="L40" s="136"/>
      <c r="M40" s="137"/>
      <c r="O40" s="204"/>
    </row>
    <row r="41" spans="1:15" s="117" customFormat="1" ht="12.75" x14ac:dyDescent="0.25">
      <c r="A41" s="257">
        <f t="shared" si="0"/>
        <v>31</v>
      </c>
      <c r="B41" s="139" t="s">
        <v>110</v>
      </c>
      <c r="C41" s="140" t="s">
        <v>21</v>
      </c>
      <c r="D41" s="141" t="s">
        <v>22</v>
      </c>
      <c r="E41" s="142" t="s">
        <v>8</v>
      </c>
      <c r="F41" s="143">
        <v>1</v>
      </c>
      <c r="G41" s="144">
        <v>334.82</v>
      </c>
      <c r="H41" s="236"/>
      <c r="I41" s="237"/>
      <c r="J41" s="145">
        <f>I41</f>
        <v>0</v>
      </c>
      <c r="K41" s="145"/>
      <c r="L41" s="145">
        <f>G41*I41</f>
        <v>0</v>
      </c>
      <c r="M41" s="146">
        <f>L41</f>
        <v>0</v>
      </c>
      <c r="O41" s="203"/>
    </row>
    <row r="42" spans="1:15" s="155" customFormat="1" ht="25.5" x14ac:dyDescent="0.25">
      <c r="A42" s="258">
        <f t="shared" si="0"/>
        <v>32</v>
      </c>
      <c r="B42" s="147"/>
      <c r="C42" s="157" t="s">
        <v>13</v>
      </c>
      <c r="D42" s="149" t="s">
        <v>25</v>
      </c>
      <c r="E42" s="150" t="s">
        <v>14</v>
      </c>
      <c r="F42" s="151">
        <v>0.1</v>
      </c>
      <c r="G42" s="152">
        <f>G41*F42</f>
        <v>33.479999999999997</v>
      </c>
      <c r="H42" s="238"/>
      <c r="I42" s="239"/>
      <c r="J42" s="153">
        <f t="shared" ref="J42:J44" si="10">H42</f>
        <v>0</v>
      </c>
      <c r="K42" s="153">
        <f t="shared" ref="K42:K44" si="11">G42*H42</f>
        <v>0</v>
      </c>
      <c r="L42" s="153"/>
      <c r="M42" s="154">
        <f t="shared" ref="M42:M44" si="12">K42</f>
        <v>0</v>
      </c>
      <c r="O42" s="205"/>
    </row>
    <row r="43" spans="1:15" s="155" customFormat="1" ht="25.5" x14ac:dyDescent="0.25">
      <c r="A43" s="258">
        <f t="shared" si="0"/>
        <v>33</v>
      </c>
      <c r="B43" s="147"/>
      <c r="C43" s="157" t="s">
        <v>52</v>
      </c>
      <c r="D43" s="149" t="s">
        <v>25</v>
      </c>
      <c r="E43" s="150" t="s">
        <v>10</v>
      </c>
      <c r="F43" s="151">
        <v>1.2</v>
      </c>
      <c r="G43" s="152">
        <f>G41*F43</f>
        <v>401.78</v>
      </c>
      <c r="H43" s="238"/>
      <c r="I43" s="239"/>
      <c r="J43" s="153">
        <f t="shared" si="10"/>
        <v>0</v>
      </c>
      <c r="K43" s="153">
        <f t="shared" si="11"/>
        <v>0</v>
      </c>
      <c r="L43" s="153"/>
      <c r="M43" s="154">
        <f t="shared" si="12"/>
        <v>0</v>
      </c>
      <c r="O43" s="205"/>
    </row>
    <row r="44" spans="1:15" s="155" customFormat="1" ht="25.5" x14ac:dyDescent="0.25">
      <c r="A44" s="258">
        <f t="shared" si="0"/>
        <v>34</v>
      </c>
      <c r="B44" s="147"/>
      <c r="C44" s="148" t="s">
        <v>23</v>
      </c>
      <c r="D44" s="149" t="s">
        <v>25</v>
      </c>
      <c r="E44" s="150" t="s">
        <v>10</v>
      </c>
      <c r="F44" s="151">
        <v>1.7</v>
      </c>
      <c r="G44" s="152">
        <f>G41*F44</f>
        <v>569.19000000000005</v>
      </c>
      <c r="H44" s="238"/>
      <c r="I44" s="239"/>
      <c r="J44" s="153">
        <f t="shared" si="10"/>
        <v>0</v>
      </c>
      <c r="K44" s="153">
        <f t="shared" si="11"/>
        <v>0</v>
      </c>
      <c r="L44" s="153"/>
      <c r="M44" s="154">
        <f t="shared" si="12"/>
        <v>0</v>
      </c>
      <c r="O44" s="205"/>
    </row>
    <row r="45" spans="1:15" s="117" customFormat="1" ht="12.75" x14ac:dyDescent="0.25">
      <c r="A45" s="257">
        <f t="shared" ref="A45:A143" si="13">ROW()-10</f>
        <v>35</v>
      </c>
      <c r="B45" s="139" t="s">
        <v>110</v>
      </c>
      <c r="C45" s="156" t="s">
        <v>15</v>
      </c>
      <c r="D45" s="141" t="s">
        <v>22</v>
      </c>
      <c r="E45" s="142" t="s">
        <v>8</v>
      </c>
      <c r="F45" s="143">
        <v>1</v>
      </c>
      <c r="G45" s="144">
        <v>266.26</v>
      </c>
      <c r="H45" s="236"/>
      <c r="I45" s="237"/>
      <c r="J45" s="145">
        <f>I45</f>
        <v>0</v>
      </c>
      <c r="K45" s="145"/>
      <c r="L45" s="145">
        <f>G45*I45</f>
        <v>0</v>
      </c>
      <c r="M45" s="146">
        <f>L45</f>
        <v>0</v>
      </c>
      <c r="O45" s="203"/>
    </row>
    <row r="46" spans="1:15" s="155" customFormat="1" ht="25.5" x14ac:dyDescent="0.25">
      <c r="A46" s="258">
        <f t="shared" si="13"/>
        <v>36</v>
      </c>
      <c r="B46" s="147"/>
      <c r="C46" s="148" t="s">
        <v>13</v>
      </c>
      <c r="D46" s="149" t="s">
        <v>25</v>
      </c>
      <c r="E46" s="150" t="s">
        <v>14</v>
      </c>
      <c r="F46" s="151">
        <v>0.1</v>
      </c>
      <c r="G46" s="152">
        <f>G45*F46</f>
        <v>26.63</v>
      </c>
      <c r="H46" s="238"/>
      <c r="I46" s="239"/>
      <c r="J46" s="153">
        <f t="shared" ref="J46:J49" si="14">H46</f>
        <v>0</v>
      </c>
      <c r="K46" s="153">
        <f t="shared" ref="K46:K49" si="15">G46*H46</f>
        <v>0</v>
      </c>
      <c r="L46" s="153"/>
      <c r="M46" s="154">
        <f t="shared" ref="M46:M49" si="16">K46</f>
        <v>0</v>
      </c>
      <c r="O46" s="205"/>
    </row>
    <row r="47" spans="1:15" s="155" customFormat="1" ht="25.5" x14ac:dyDescent="0.25">
      <c r="A47" s="258">
        <f t="shared" si="13"/>
        <v>37</v>
      </c>
      <c r="B47" s="147"/>
      <c r="C47" s="148" t="s">
        <v>104</v>
      </c>
      <c r="D47" s="149" t="s">
        <v>25</v>
      </c>
      <c r="E47" s="150" t="s">
        <v>14</v>
      </c>
      <c r="F47" s="151">
        <v>0.3</v>
      </c>
      <c r="G47" s="152">
        <f>167.84*F47</f>
        <v>50.35</v>
      </c>
      <c r="H47" s="238"/>
      <c r="I47" s="239"/>
      <c r="J47" s="153">
        <f t="shared" si="14"/>
        <v>0</v>
      </c>
      <c r="K47" s="153">
        <f t="shared" si="15"/>
        <v>0</v>
      </c>
      <c r="L47" s="153"/>
      <c r="M47" s="154">
        <f t="shared" si="16"/>
        <v>0</v>
      </c>
      <c r="O47" s="205"/>
    </row>
    <row r="48" spans="1:15" s="155" customFormat="1" ht="25.5" x14ac:dyDescent="0.25">
      <c r="A48" s="258">
        <f t="shared" si="0"/>
        <v>38</v>
      </c>
      <c r="B48" s="147"/>
      <c r="C48" s="148" t="s">
        <v>105</v>
      </c>
      <c r="D48" s="149" t="s">
        <v>25</v>
      </c>
      <c r="E48" s="150" t="s">
        <v>14</v>
      </c>
      <c r="F48" s="151">
        <v>0.3</v>
      </c>
      <c r="G48" s="152">
        <f>11.95*F48</f>
        <v>3.59</v>
      </c>
      <c r="H48" s="238"/>
      <c r="I48" s="239"/>
      <c r="J48" s="153">
        <f t="shared" si="14"/>
        <v>0</v>
      </c>
      <c r="K48" s="153">
        <f t="shared" si="15"/>
        <v>0</v>
      </c>
      <c r="L48" s="153"/>
      <c r="M48" s="154">
        <f t="shared" si="16"/>
        <v>0</v>
      </c>
      <c r="O48" s="205"/>
    </row>
    <row r="49" spans="1:15" s="155" customFormat="1" ht="25.5" x14ac:dyDescent="0.25">
      <c r="A49" s="258">
        <f t="shared" si="13"/>
        <v>39</v>
      </c>
      <c r="B49" s="147"/>
      <c r="C49" s="148" t="s">
        <v>106</v>
      </c>
      <c r="D49" s="149" t="s">
        <v>25</v>
      </c>
      <c r="E49" s="150" t="s">
        <v>14</v>
      </c>
      <c r="F49" s="151">
        <v>0.3</v>
      </c>
      <c r="G49" s="152">
        <f>86.47*F49</f>
        <v>25.94</v>
      </c>
      <c r="H49" s="238"/>
      <c r="I49" s="239"/>
      <c r="J49" s="153">
        <f t="shared" si="14"/>
        <v>0</v>
      </c>
      <c r="K49" s="153">
        <f t="shared" si="15"/>
        <v>0</v>
      </c>
      <c r="L49" s="153"/>
      <c r="M49" s="154">
        <f t="shared" si="16"/>
        <v>0</v>
      </c>
      <c r="O49" s="205"/>
    </row>
    <row r="50" spans="1:15" s="117" customFormat="1" ht="38.25" x14ac:dyDescent="0.25">
      <c r="A50" s="257">
        <f t="shared" si="0"/>
        <v>40</v>
      </c>
      <c r="B50" s="139" t="s">
        <v>110</v>
      </c>
      <c r="C50" s="156" t="s">
        <v>134</v>
      </c>
      <c r="D50" s="141" t="s">
        <v>22</v>
      </c>
      <c r="E50" s="142" t="s">
        <v>8</v>
      </c>
      <c r="F50" s="143">
        <v>1</v>
      </c>
      <c r="G50" s="144">
        <v>56.56</v>
      </c>
      <c r="H50" s="236"/>
      <c r="I50" s="237"/>
      <c r="J50" s="145">
        <f>I50</f>
        <v>0</v>
      </c>
      <c r="K50" s="145"/>
      <c r="L50" s="145">
        <f>G50*I50</f>
        <v>0</v>
      </c>
      <c r="M50" s="146">
        <f>L50</f>
        <v>0</v>
      </c>
      <c r="O50" s="203"/>
    </row>
    <row r="51" spans="1:15" s="155" customFormat="1" ht="25.5" x14ac:dyDescent="0.25">
      <c r="A51" s="258">
        <f t="shared" si="0"/>
        <v>41</v>
      </c>
      <c r="B51" s="147"/>
      <c r="C51" s="148" t="s">
        <v>58</v>
      </c>
      <c r="D51" s="149" t="s">
        <v>25</v>
      </c>
      <c r="E51" s="150" t="s">
        <v>8</v>
      </c>
      <c r="F51" s="151">
        <v>1.07</v>
      </c>
      <c r="G51" s="152">
        <f>G50*F51</f>
        <v>60.52</v>
      </c>
      <c r="H51" s="238"/>
      <c r="I51" s="239"/>
      <c r="J51" s="153">
        <f t="shared" ref="J51:J54" si="17">H51</f>
        <v>0</v>
      </c>
      <c r="K51" s="153">
        <f t="shared" ref="K51:K54" si="18">G51*H51</f>
        <v>0</v>
      </c>
      <c r="L51" s="153"/>
      <c r="M51" s="154">
        <f t="shared" ref="M51:M54" si="19">K51</f>
        <v>0</v>
      </c>
      <c r="O51" s="205"/>
    </row>
    <row r="52" spans="1:15" s="155" customFormat="1" ht="25.5" x14ac:dyDescent="0.25">
      <c r="A52" s="258">
        <f t="shared" si="13"/>
        <v>42</v>
      </c>
      <c r="B52" s="147"/>
      <c r="C52" s="148" t="s">
        <v>9</v>
      </c>
      <c r="D52" s="149" t="s">
        <v>25</v>
      </c>
      <c r="E52" s="150" t="s">
        <v>10</v>
      </c>
      <c r="F52" s="151">
        <v>12</v>
      </c>
      <c r="G52" s="152">
        <f>G50*0.3*F52</f>
        <v>203.62</v>
      </c>
      <c r="H52" s="238"/>
      <c r="I52" s="239"/>
      <c r="J52" s="153">
        <f t="shared" si="17"/>
        <v>0</v>
      </c>
      <c r="K52" s="153">
        <f t="shared" si="18"/>
        <v>0</v>
      </c>
      <c r="L52" s="153"/>
      <c r="M52" s="154">
        <f t="shared" si="19"/>
        <v>0</v>
      </c>
      <c r="O52" s="205"/>
    </row>
    <row r="53" spans="1:15" s="155" customFormat="1" ht="25.5" x14ac:dyDescent="0.25">
      <c r="A53" s="258">
        <f t="shared" si="13"/>
        <v>43</v>
      </c>
      <c r="B53" s="147"/>
      <c r="C53" s="148" t="s">
        <v>11</v>
      </c>
      <c r="D53" s="149" t="s">
        <v>25</v>
      </c>
      <c r="E53" s="150" t="s">
        <v>10</v>
      </c>
      <c r="F53" s="151">
        <v>0.25</v>
      </c>
      <c r="G53" s="152">
        <f>G50*0.3*F53</f>
        <v>4.24</v>
      </c>
      <c r="H53" s="238"/>
      <c r="I53" s="239"/>
      <c r="J53" s="153">
        <f t="shared" si="17"/>
        <v>0</v>
      </c>
      <c r="K53" s="153">
        <f t="shared" si="18"/>
        <v>0</v>
      </c>
      <c r="L53" s="153"/>
      <c r="M53" s="154">
        <f t="shared" si="19"/>
        <v>0</v>
      </c>
      <c r="O53" s="205"/>
    </row>
    <row r="54" spans="1:15" s="155" customFormat="1" ht="25.5" x14ac:dyDescent="0.25">
      <c r="A54" s="258">
        <f t="shared" si="13"/>
        <v>44</v>
      </c>
      <c r="B54" s="147"/>
      <c r="C54" s="148" t="s">
        <v>46</v>
      </c>
      <c r="D54" s="149" t="s">
        <v>25</v>
      </c>
      <c r="E54" s="150" t="s">
        <v>12</v>
      </c>
      <c r="F54" s="151">
        <v>1.1000000000000001</v>
      </c>
      <c r="G54" s="152">
        <f>21.12*F54</f>
        <v>23.23</v>
      </c>
      <c r="H54" s="238"/>
      <c r="I54" s="239"/>
      <c r="J54" s="153">
        <f t="shared" si="17"/>
        <v>0</v>
      </c>
      <c r="K54" s="153">
        <f t="shared" si="18"/>
        <v>0</v>
      </c>
      <c r="L54" s="153"/>
      <c r="M54" s="154">
        <f t="shared" si="19"/>
        <v>0</v>
      </c>
      <c r="O54" s="205"/>
    </row>
    <row r="55" spans="1:15" s="117" customFormat="1" ht="38.25" x14ac:dyDescent="0.25">
      <c r="A55" s="257">
        <f t="shared" si="13"/>
        <v>45</v>
      </c>
      <c r="B55" s="139" t="s">
        <v>110</v>
      </c>
      <c r="C55" s="156" t="s">
        <v>49</v>
      </c>
      <c r="D55" s="141" t="s">
        <v>22</v>
      </c>
      <c r="E55" s="142" t="s">
        <v>8</v>
      </c>
      <c r="F55" s="143">
        <v>1</v>
      </c>
      <c r="G55" s="144">
        <v>68.56</v>
      </c>
      <c r="H55" s="236"/>
      <c r="I55" s="237"/>
      <c r="J55" s="145">
        <f>I55</f>
        <v>0</v>
      </c>
      <c r="K55" s="145"/>
      <c r="L55" s="145">
        <f>G55*I55</f>
        <v>0</v>
      </c>
      <c r="M55" s="146">
        <f>L55</f>
        <v>0</v>
      </c>
      <c r="O55" s="203"/>
    </row>
    <row r="56" spans="1:15" s="155" customFormat="1" ht="25.5" x14ac:dyDescent="0.25">
      <c r="A56" s="258">
        <f t="shared" si="13"/>
        <v>46</v>
      </c>
      <c r="B56" s="147"/>
      <c r="C56" s="148" t="s">
        <v>131</v>
      </c>
      <c r="D56" s="149" t="s">
        <v>25</v>
      </c>
      <c r="E56" s="150" t="s">
        <v>10</v>
      </c>
      <c r="F56" s="151">
        <v>2.5</v>
      </c>
      <c r="G56" s="152">
        <f>11.57*F56</f>
        <v>28.93</v>
      </c>
      <c r="H56" s="238"/>
      <c r="I56" s="239"/>
      <c r="J56" s="153">
        <f t="shared" ref="J56:J58" si="20">H56</f>
        <v>0</v>
      </c>
      <c r="K56" s="153">
        <f t="shared" ref="K56:K58" si="21">G56*H56</f>
        <v>0</v>
      </c>
      <c r="L56" s="153"/>
      <c r="M56" s="154">
        <f t="shared" ref="M56:M58" si="22">K56</f>
        <v>0</v>
      </c>
      <c r="O56" s="205"/>
    </row>
    <row r="57" spans="1:15" s="155" customFormat="1" ht="25.5" x14ac:dyDescent="0.25">
      <c r="A57" s="258">
        <f t="shared" si="13"/>
        <v>47</v>
      </c>
      <c r="B57" s="147"/>
      <c r="C57" s="148" t="s">
        <v>132</v>
      </c>
      <c r="D57" s="149" t="s">
        <v>25</v>
      </c>
      <c r="E57" s="150" t="s">
        <v>10</v>
      </c>
      <c r="F57" s="151">
        <v>2.5</v>
      </c>
      <c r="G57" s="152">
        <f>47.97*F57</f>
        <v>119.93</v>
      </c>
      <c r="H57" s="238"/>
      <c r="I57" s="239"/>
      <c r="J57" s="153">
        <f t="shared" si="20"/>
        <v>0</v>
      </c>
      <c r="K57" s="153">
        <f t="shared" si="21"/>
        <v>0</v>
      </c>
      <c r="L57" s="153"/>
      <c r="M57" s="154">
        <f t="shared" si="22"/>
        <v>0</v>
      </c>
      <c r="O57" s="205"/>
    </row>
    <row r="58" spans="1:15" s="155" customFormat="1" ht="25.5" x14ac:dyDescent="0.25">
      <c r="A58" s="258">
        <f t="shared" si="13"/>
        <v>48</v>
      </c>
      <c r="B58" s="147"/>
      <c r="C58" s="148" t="s">
        <v>133</v>
      </c>
      <c r="D58" s="149" t="s">
        <v>25</v>
      </c>
      <c r="E58" s="150" t="s">
        <v>10</v>
      </c>
      <c r="F58" s="151">
        <v>2.5</v>
      </c>
      <c r="G58" s="152">
        <f>9.02*F58</f>
        <v>22.55</v>
      </c>
      <c r="H58" s="238"/>
      <c r="I58" s="239"/>
      <c r="J58" s="153">
        <f t="shared" si="20"/>
        <v>0</v>
      </c>
      <c r="K58" s="153">
        <f t="shared" si="21"/>
        <v>0</v>
      </c>
      <c r="L58" s="153"/>
      <c r="M58" s="154">
        <f t="shared" si="22"/>
        <v>0</v>
      </c>
      <c r="O58" s="205"/>
    </row>
    <row r="59" spans="1:15" s="117" customFormat="1" ht="12.75" x14ac:dyDescent="0.25">
      <c r="A59" s="257">
        <f t="shared" si="13"/>
        <v>49</v>
      </c>
      <c r="B59" s="139" t="s">
        <v>110</v>
      </c>
      <c r="C59" s="156" t="s">
        <v>50</v>
      </c>
      <c r="D59" s="141" t="s">
        <v>22</v>
      </c>
      <c r="E59" s="142" t="s">
        <v>12</v>
      </c>
      <c r="F59" s="143">
        <v>1</v>
      </c>
      <c r="G59" s="144">
        <v>7.8</v>
      </c>
      <c r="H59" s="236"/>
      <c r="I59" s="237"/>
      <c r="J59" s="145">
        <f>I59</f>
        <v>0</v>
      </c>
      <c r="K59" s="145"/>
      <c r="L59" s="145">
        <f>G59*I59</f>
        <v>0</v>
      </c>
      <c r="M59" s="146">
        <f>L59</f>
        <v>0</v>
      </c>
      <c r="O59" s="203"/>
    </row>
    <row r="60" spans="1:15" s="155" customFormat="1" ht="25.5" x14ac:dyDescent="0.25">
      <c r="A60" s="258">
        <f t="shared" si="13"/>
        <v>50</v>
      </c>
      <c r="B60" s="147"/>
      <c r="C60" s="148" t="s">
        <v>51</v>
      </c>
      <c r="D60" s="149" t="s">
        <v>25</v>
      </c>
      <c r="E60" s="150" t="s">
        <v>12</v>
      </c>
      <c r="F60" s="151">
        <v>1.1000000000000001</v>
      </c>
      <c r="G60" s="152">
        <f>G59*F60</f>
        <v>8.58</v>
      </c>
      <c r="H60" s="238"/>
      <c r="I60" s="239"/>
      <c r="J60" s="153">
        <f>H60</f>
        <v>0</v>
      </c>
      <c r="K60" s="153">
        <f>G60*H60</f>
        <v>0</v>
      </c>
      <c r="L60" s="153"/>
      <c r="M60" s="154">
        <f>K60</f>
        <v>0</v>
      </c>
      <c r="O60" s="205"/>
    </row>
    <row r="61" spans="1:15" s="117" customFormat="1" ht="12.75" x14ac:dyDescent="0.25">
      <c r="A61" s="257">
        <f t="shared" si="13"/>
        <v>51</v>
      </c>
      <c r="B61" s="139" t="s">
        <v>110</v>
      </c>
      <c r="C61" s="156" t="s">
        <v>20</v>
      </c>
      <c r="D61" s="141" t="s">
        <v>22</v>
      </c>
      <c r="E61" s="142" t="s">
        <v>24</v>
      </c>
      <c r="F61" s="143">
        <v>1</v>
      </c>
      <c r="G61" s="144">
        <v>57.75</v>
      </c>
      <c r="H61" s="236"/>
      <c r="I61" s="237"/>
      <c r="J61" s="145">
        <f>I61</f>
        <v>0</v>
      </c>
      <c r="K61" s="145"/>
      <c r="L61" s="145">
        <f>G61*I61</f>
        <v>0</v>
      </c>
      <c r="M61" s="146">
        <f>L61</f>
        <v>0</v>
      </c>
      <c r="O61" s="203"/>
    </row>
    <row r="62" spans="1:15" s="155" customFormat="1" ht="25.5" x14ac:dyDescent="0.25">
      <c r="A62" s="258">
        <f t="shared" si="13"/>
        <v>52</v>
      </c>
      <c r="B62" s="159"/>
      <c r="C62" s="148" t="s">
        <v>32</v>
      </c>
      <c r="D62" s="149" t="s">
        <v>25</v>
      </c>
      <c r="E62" s="150" t="s">
        <v>10</v>
      </c>
      <c r="F62" s="151">
        <v>0.05</v>
      </c>
      <c r="G62" s="152">
        <f>G61*0.2*F62</f>
        <v>0.57999999999999996</v>
      </c>
      <c r="H62" s="238"/>
      <c r="I62" s="242"/>
      <c r="J62" s="153">
        <f t="shared" ref="J62:J67" si="23">H62</f>
        <v>0</v>
      </c>
      <c r="K62" s="153">
        <f t="shared" ref="K62:K67" si="24">G62*H62</f>
        <v>0</v>
      </c>
      <c r="L62" s="153"/>
      <c r="M62" s="154">
        <f t="shared" ref="M62:M67" si="25">K62</f>
        <v>0</v>
      </c>
      <c r="O62" s="205"/>
    </row>
    <row r="63" spans="1:15" s="155" customFormat="1" ht="25.5" x14ac:dyDescent="0.25">
      <c r="A63" s="258">
        <f t="shared" si="13"/>
        <v>53</v>
      </c>
      <c r="B63" s="159"/>
      <c r="C63" s="148" t="s">
        <v>33</v>
      </c>
      <c r="D63" s="149" t="s">
        <v>25</v>
      </c>
      <c r="E63" s="150" t="s">
        <v>10</v>
      </c>
      <c r="F63" s="151">
        <v>10</v>
      </c>
      <c r="G63" s="152">
        <f>G61*0.2*F63</f>
        <v>115.5</v>
      </c>
      <c r="H63" s="238"/>
      <c r="I63" s="242"/>
      <c r="J63" s="153">
        <f t="shared" si="23"/>
        <v>0</v>
      </c>
      <c r="K63" s="153">
        <f t="shared" si="24"/>
        <v>0</v>
      </c>
      <c r="L63" s="153"/>
      <c r="M63" s="154">
        <f t="shared" si="25"/>
        <v>0</v>
      </c>
      <c r="O63" s="205"/>
    </row>
    <row r="64" spans="1:15" s="155" customFormat="1" ht="25.5" x14ac:dyDescent="0.25">
      <c r="A64" s="258">
        <f t="shared" si="13"/>
        <v>54</v>
      </c>
      <c r="B64" s="147"/>
      <c r="C64" s="148" t="s">
        <v>13</v>
      </c>
      <c r="D64" s="149" t="s">
        <v>25</v>
      </c>
      <c r="E64" s="150" t="s">
        <v>14</v>
      </c>
      <c r="F64" s="151">
        <v>0.1</v>
      </c>
      <c r="G64" s="152">
        <f>G61*0.2*F64</f>
        <v>1.1599999999999999</v>
      </c>
      <c r="H64" s="238"/>
      <c r="I64" s="239"/>
      <c r="J64" s="153">
        <f t="shared" si="23"/>
        <v>0</v>
      </c>
      <c r="K64" s="153">
        <f t="shared" si="24"/>
        <v>0</v>
      </c>
      <c r="L64" s="153"/>
      <c r="M64" s="154">
        <f t="shared" si="25"/>
        <v>0</v>
      </c>
      <c r="O64" s="205"/>
    </row>
    <row r="65" spans="1:15" s="155" customFormat="1" ht="25.5" x14ac:dyDescent="0.25">
      <c r="A65" s="258">
        <f t="shared" si="13"/>
        <v>55</v>
      </c>
      <c r="B65" s="159"/>
      <c r="C65" s="148" t="s">
        <v>23</v>
      </c>
      <c r="D65" s="160" t="s">
        <v>25</v>
      </c>
      <c r="E65" s="150" t="s">
        <v>10</v>
      </c>
      <c r="F65" s="151">
        <v>1.7</v>
      </c>
      <c r="G65" s="152">
        <f>G61*0.2*F65</f>
        <v>19.64</v>
      </c>
      <c r="H65" s="238"/>
      <c r="I65" s="242"/>
      <c r="J65" s="153">
        <f t="shared" si="23"/>
        <v>0</v>
      </c>
      <c r="K65" s="153">
        <f t="shared" si="24"/>
        <v>0</v>
      </c>
      <c r="L65" s="153"/>
      <c r="M65" s="154">
        <f t="shared" si="25"/>
        <v>0</v>
      </c>
      <c r="O65" s="205"/>
    </row>
    <row r="66" spans="1:15" s="155" customFormat="1" ht="25.5" x14ac:dyDescent="0.25">
      <c r="A66" s="258">
        <f t="shared" si="13"/>
        <v>56</v>
      </c>
      <c r="B66" s="147"/>
      <c r="C66" s="148" t="s">
        <v>104</v>
      </c>
      <c r="D66" s="149" t="s">
        <v>25</v>
      </c>
      <c r="E66" s="150" t="s">
        <v>14</v>
      </c>
      <c r="F66" s="151">
        <v>0.3</v>
      </c>
      <c r="G66" s="152">
        <f>52.64*0.2*F66</f>
        <v>3.16</v>
      </c>
      <c r="H66" s="238"/>
      <c r="I66" s="242"/>
      <c r="J66" s="153">
        <f t="shared" si="23"/>
        <v>0</v>
      </c>
      <c r="K66" s="153">
        <f t="shared" si="24"/>
        <v>0</v>
      </c>
      <c r="L66" s="153"/>
      <c r="M66" s="154">
        <f t="shared" si="25"/>
        <v>0</v>
      </c>
      <c r="O66" s="205"/>
    </row>
    <row r="67" spans="1:15" s="155" customFormat="1" ht="25.5" x14ac:dyDescent="0.25">
      <c r="A67" s="258">
        <f t="shared" si="13"/>
        <v>57</v>
      </c>
      <c r="B67" s="147"/>
      <c r="C67" s="148" t="s">
        <v>133</v>
      </c>
      <c r="D67" s="149" t="s">
        <v>25</v>
      </c>
      <c r="E67" s="150" t="s">
        <v>10</v>
      </c>
      <c r="F67" s="151">
        <v>2.5</v>
      </c>
      <c r="G67" s="152">
        <f>5.11*0.2*F67</f>
        <v>2.56</v>
      </c>
      <c r="H67" s="238"/>
      <c r="I67" s="242"/>
      <c r="J67" s="153">
        <f t="shared" si="23"/>
        <v>0</v>
      </c>
      <c r="K67" s="153">
        <f t="shared" si="24"/>
        <v>0</v>
      </c>
      <c r="L67" s="153"/>
      <c r="M67" s="154">
        <f t="shared" si="25"/>
        <v>0</v>
      </c>
      <c r="O67" s="205"/>
    </row>
    <row r="68" spans="1:15" s="138" customFormat="1" ht="25.5" customHeight="1" x14ac:dyDescent="0.25">
      <c r="A68" s="256">
        <f>ROW()-10</f>
        <v>58</v>
      </c>
      <c r="B68" s="128" t="s">
        <v>113</v>
      </c>
      <c r="C68" s="129" t="s">
        <v>112</v>
      </c>
      <c r="D68" s="130"/>
      <c r="E68" s="131"/>
      <c r="F68" s="132"/>
      <c r="G68" s="133"/>
      <c r="H68" s="240"/>
      <c r="I68" s="241"/>
      <c r="J68" s="136"/>
      <c r="K68" s="136"/>
      <c r="L68" s="136"/>
      <c r="M68" s="137"/>
      <c r="O68" s="204"/>
    </row>
    <row r="69" spans="1:15" s="117" customFormat="1" ht="12.75" x14ac:dyDescent="0.25">
      <c r="A69" s="257">
        <f t="shared" si="0"/>
        <v>59</v>
      </c>
      <c r="B69" s="139" t="s">
        <v>113</v>
      </c>
      <c r="C69" s="156" t="s">
        <v>16</v>
      </c>
      <c r="D69" s="141" t="s">
        <v>22</v>
      </c>
      <c r="E69" s="142" t="s">
        <v>8</v>
      </c>
      <c r="F69" s="143">
        <v>1</v>
      </c>
      <c r="G69" s="144">
        <v>103.1</v>
      </c>
      <c r="H69" s="236"/>
      <c r="I69" s="237"/>
      <c r="J69" s="145">
        <f>I69</f>
        <v>0</v>
      </c>
      <c r="K69" s="145"/>
      <c r="L69" s="145">
        <f>G69*I69</f>
        <v>0</v>
      </c>
      <c r="M69" s="146">
        <f>L69</f>
        <v>0</v>
      </c>
      <c r="O69" s="203"/>
    </row>
    <row r="70" spans="1:15" s="155" customFormat="1" ht="25.5" x14ac:dyDescent="0.25">
      <c r="A70" s="258">
        <f t="shared" si="0"/>
        <v>60</v>
      </c>
      <c r="B70" s="158" t="s">
        <v>59</v>
      </c>
      <c r="C70" s="148" t="s">
        <v>58</v>
      </c>
      <c r="D70" s="149" t="s">
        <v>25</v>
      </c>
      <c r="E70" s="150" t="s">
        <v>8</v>
      </c>
      <c r="F70" s="151">
        <v>1.07</v>
      </c>
      <c r="G70" s="152">
        <f>G69*F70</f>
        <v>110.32</v>
      </c>
      <c r="H70" s="238"/>
      <c r="I70" s="239"/>
      <c r="J70" s="153">
        <f t="shared" ref="J70:J72" si="26">H70</f>
        <v>0</v>
      </c>
      <c r="K70" s="153">
        <f t="shared" ref="K70:K72" si="27">G70*H70</f>
        <v>0</v>
      </c>
      <c r="L70" s="153"/>
      <c r="M70" s="154">
        <f t="shared" ref="M70:M72" si="28">K70</f>
        <v>0</v>
      </c>
      <c r="O70" s="205"/>
    </row>
    <row r="71" spans="1:15" s="155" customFormat="1" ht="25.5" x14ac:dyDescent="0.25">
      <c r="A71" s="258">
        <f t="shared" si="0"/>
        <v>61</v>
      </c>
      <c r="B71" s="147"/>
      <c r="C71" s="148" t="s">
        <v>9</v>
      </c>
      <c r="D71" s="149" t="s">
        <v>25</v>
      </c>
      <c r="E71" s="150" t="s">
        <v>10</v>
      </c>
      <c r="F71" s="151">
        <v>12</v>
      </c>
      <c r="G71" s="152">
        <f>G69*F71</f>
        <v>1237.2</v>
      </c>
      <c r="H71" s="238"/>
      <c r="I71" s="239"/>
      <c r="J71" s="153">
        <f t="shared" si="26"/>
        <v>0</v>
      </c>
      <c r="K71" s="153">
        <f t="shared" si="27"/>
        <v>0</v>
      </c>
      <c r="L71" s="153"/>
      <c r="M71" s="154">
        <f t="shared" si="28"/>
        <v>0</v>
      </c>
      <c r="O71" s="205"/>
    </row>
    <row r="72" spans="1:15" s="155" customFormat="1" ht="25.5" x14ac:dyDescent="0.25">
      <c r="A72" s="258">
        <f t="shared" si="0"/>
        <v>62</v>
      </c>
      <c r="B72" s="147"/>
      <c r="C72" s="148" t="s">
        <v>11</v>
      </c>
      <c r="D72" s="149" t="s">
        <v>25</v>
      </c>
      <c r="E72" s="150" t="s">
        <v>10</v>
      </c>
      <c r="F72" s="151">
        <v>0.25</v>
      </c>
      <c r="G72" s="152">
        <f>G69*F72</f>
        <v>25.78</v>
      </c>
      <c r="H72" s="238"/>
      <c r="I72" s="239"/>
      <c r="J72" s="153">
        <f t="shared" si="26"/>
        <v>0</v>
      </c>
      <c r="K72" s="153">
        <f t="shared" si="27"/>
        <v>0</v>
      </c>
      <c r="L72" s="153"/>
      <c r="M72" s="154">
        <f t="shared" si="28"/>
        <v>0</v>
      </c>
      <c r="O72" s="205"/>
    </row>
    <row r="73" spans="1:15" s="117" customFormat="1" ht="25.5" x14ac:dyDescent="0.25">
      <c r="A73" s="257">
        <f t="shared" si="0"/>
        <v>63</v>
      </c>
      <c r="B73" s="139" t="s">
        <v>113</v>
      </c>
      <c r="C73" s="156" t="s">
        <v>45</v>
      </c>
      <c r="D73" s="141" t="s">
        <v>22</v>
      </c>
      <c r="E73" s="142" t="s">
        <v>12</v>
      </c>
      <c r="F73" s="143">
        <v>1</v>
      </c>
      <c r="G73" s="144">
        <v>80.3</v>
      </c>
      <c r="H73" s="236"/>
      <c r="I73" s="237"/>
      <c r="J73" s="145">
        <f>I73</f>
        <v>0</v>
      </c>
      <c r="K73" s="145"/>
      <c r="L73" s="145">
        <f>G73*I73</f>
        <v>0</v>
      </c>
      <c r="M73" s="146">
        <f>L73</f>
        <v>0</v>
      </c>
      <c r="O73" s="203"/>
    </row>
    <row r="74" spans="1:15" s="155" customFormat="1" ht="25.5" x14ac:dyDescent="0.25">
      <c r="A74" s="258">
        <f t="shared" si="0"/>
        <v>64</v>
      </c>
      <c r="B74" s="147" t="s">
        <v>61</v>
      </c>
      <c r="C74" s="148" t="s">
        <v>60</v>
      </c>
      <c r="D74" s="149" t="s">
        <v>25</v>
      </c>
      <c r="E74" s="150" t="s">
        <v>8</v>
      </c>
      <c r="F74" s="151">
        <v>1.07</v>
      </c>
      <c r="G74" s="152">
        <f>G73*0.3*F74</f>
        <v>25.78</v>
      </c>
      <c r="H74" s="238"/>
      <c r="I74" s="239"/>
      <c r="J74" s="153">
        <f t="shared" ref="J74:J77" si="29">H74</f>
        <v>0</v>
      </c>
      <c r="K74" s="153">
        <f t="shared" ref="K74:K77" si="30">G74*H74</f>
        <v>0</v>
      </c>
      <c r="L74" s="153"/>
      <c r="M74" s="154">
        <f t="shared" ref="M74:M77" si="31">K74</f>
        <v>0</v>
      </c>
      <c r="O74" s="205"/>
    </row>
    <row r="75" spans="1:15" s="155" customFormat="1" ht="25.5" x14ac:dyDescent="0.25">
      <c r="A75" s="258">
        <f t="shared" si="0"/>
        <v>65</v>
      </c>
      <c r="B75" s="147"/>
      <c r="C75" s="148" t="s">
        <v>9</v>
      </c>
      <c r="D75" s="149" t="s">
        <v>25</v>
      </c>
      <c r="E75" s="150" t="s">
        <v>10</v>
      </c>
      <c r="F75" s="151">
        <v>12</v>
      </c>
      <c r="G75" s="152">
        <f>G73*0.3*F75</f>
        <v>289.08</v>
      </c>
      <c r="H75" s="238"/>
      <c r="I75" s="239"/>
      <c r="J75" s="153">
        <f t="shared" si="29"/>
        <v>0</v>
      </c>
      <c r="K75" s="153">
        <f t="shared" si="30"/>
        <v>0</v>
      </c>
      <c r="L75" s="153"/>
      <c r="M75" s="154">
        <f t="shared" si="31"/>
        <v>0</v>
      </c>
      <c r="O75" s="205"/>
    </row>
    <row r="76" spans="1:15" s="155" customFormat="1" ht="25.5" x14ac:dyDescent="0.25">
      <c r="A76" s="258">
        <f t="shared" si="0"/>
        <v>66</v>
      </c>
      <c r="B76" s="147"/>
      <c r="C76" s="148" t="s">
        <v>11</v>
      </c>
      <c r="D76" s="149" t="s">
        <v>25</v>
      </c>
      <c r="E76" s="150" t="s">
        <v>10</v>
      </c>
      <c r="F76" s="151">
        <v>0.25</v>
      </c>
      <c r="G76" s="152">
        <f>G73*0.3*F76</f>
        <v>6.02</v>
      </c>
      <c r="H76" s="238"/>
      <c r="I76" s="239"/>
      <c r="J76" s="153">
        <f t="shared" si="29"/>
        <v>0</v>
      </c>
      <c r="K76" s="153">
        <f t="shared" si="30"/>
        <v>0</v>
      </c>
      <c r="L76" s="153"/>
      <c r="M76" s="154">
        <f t="shared" si="31"/>
        <v>0</v>
      </c>
      <c r="O76" s="205"/>
    </row>
    <row r="77" spans="1:15" s="155" customFormat="1" ht="25.5" x14ac:dyDescent="0.25">
      <c r="A77" s="258">
        <f t="shared" si="0"/>
        <v>67</v>
      </c>
      <c r="B77" s="147"/>
      <c r="C77" s="148" t="s">
        <v>46</v>
      </c>
      <c r="D77" s="149" t="s">
        <v>25</v>
      </c>
      <c r="E77" s="150" t="s">
        <v>12</v>
      </c>
      <c r="F77" s="151">
        <v>1.1000000000000001</v>
      </c>
      <c r="G77" s="152">
        <f>G73*F77</f>
        <v>88.33</v>
      </c>
      <c r="H77" s="238"/>
      <c r="I77" s="239"/>
      <c r="J77" s="153">
        <f t="shared" si="29"/>
        <v>0</v>
      </c>
      <c r="K77" s="153">
        <f t="shared" si="30"/>
        <v>0</v>
      </c>
      <c r="L77" s="153"/>
      <c r="M77" s="154">
        <f t="shared" si="31"/>
        <v>0</v>
      </c>
      <c r="O77" s="205"/>
    </row>
    <row r="78" spans="1:15" s="117" customFormat="1" ht="25.5" x14ac:dyDescent="0.25">
      <c r="A78" s="257">
        <f t="shared" si="0"/>
        <v>68</v>
      </c>
      <c r="B78" s="139" t="s">
        <v>113</v>
      </c>
      <c r="C78" s="156" t="s">
        <v>114</v>
      </c>
      <c r="D78" s="141" t="s">
        <v>22</v>
      </c>
      <c r="E78" s="142" t="s">
        <v>8</v>
      </c>
      <c r="F78" s="143">
        <v>1</v>
      </c>
      <c r="G78" s="144">
        <f>13.1+2.7</f>
        <v>15.8</v>
      </c>
      <c r="H78" s="236"/>
      <c r="I78" s="237"/>
      <c r="J78" s="145">
        <f>I78</f>
        <v>0</v>
      </c>
      <c r="K78" s="145"/>
      <c r="L78" s="145">
        <f>G78*I78</f>
        <v>0</v>
      </c>
      <c r="M78" s="146">
        <f>L78</f>
        <v>0</v>
      </c>
      <c r="O78" s="203"/>
    </row>
    <row r="79" spans="1:15" s="155" customFormat="1" ht="25.5" x14ac:dyDescent="0.25">
      <c r="A79" s="258">
        <f t="shared" si="0"/>
        <v>69</v>
      </c>
      <c r="B79" s="158" t="s">
        <v>64</v>
      </c>
      <c r="C79" s="148" t="s">
        <v>63</v>
      </c>
      <c r="D79" s="149" t="s">
        <v>25</v>
      </c>
      <c r="E79" s="150" t="s">
        <v>8</v>
      </c>
      <c r="F79" s="151">
        <v>1.07</v>
      </c>
      <c r="G79" s="152">
        <f>G78*F79</f>
        <v>16.91</v>
      </c>
      <c r="H79" s="238"/>
      <c r="I79" s="239"/>
      <c r="J79" s="153">
        <f t="shared" ref="J79:J81" si="32">H79</f>
        <v>0</v>
      </c>
      <c r="K79" s="153">
        <f t="shared" ref="K79:K81" si="33">G79*H79</f>
        <v>0</v>
      </c>
      <c r="L79" s="153"/>
      <c r="M79" s="154">
        <f t="shared" ref="M79:M81" si="34">K79</f>
        <v>0</v>
      </c>
      <c r="O79" s="205"/>
    </row>
    <row r="80" spans="1:15" s="155" customFormat="1" ht="25.5" x14ac:dyDescent="0.25">
      <c r="A80" s="258">
        <f t="shared" si="0"/>
        <v>70</v>
      </c>
      <c r="B80" s="147"/>
      <c r="C80" s="148" t="s">
        <v>9</v>
      </c>
      <c r="D80" s="149" t="s">
        <v>25</v>
      </c>
      <c r="E80" s="150" t="s">
        <v>10</v>
      </c>
      <c r="F80" s="151">
        <v>12</v>
      </c>
      <c r="G80" s="152">
        <f>G78*F80</f>
        <v>189.6</v>
      </c>
      <c r="H80" s="238"/>
      <c r="I80" s="239"/>
      <c r="J80" s="153">
        <f t="shared" si="32"/>
        <v>0</v>
      </c>
      <c r="K80" s="153">
        <f t="shared" si="33"/>
        <v>0</v>
      </c>
      <c r="L80" s="153"/>
      <c r="M80" s="154">
        <f t="shared" si="34"/>
        <v>0</v>
      </c>
      <c r="O80" s="205"/>
    </row>
    <row r="81" spans="1:15" s="155" customFormat="1" ht="25.5" x14ac:dyDescent="0.25">
      <c r="A81" s="258">
        <f t="shared" si="0"/>
        <v>71</v>
      </c>
      <c r="B81" s="147"/>
      <c r="C81" s="148" t="s">
        <v>11</v>
      </c>
      <c r="D81" s="149" t="s">
        <v>25</v>
      </c>
      <c r="E81" s="150" t="s">
        <v>10</v>
      </c>
      <c r="F81" s="151">
        <v>0.25</v>
      </c>
      <c r="G81" s="152">
        <f>G78*F81</f>
        <v>3.95</v>
      </c>
      <c r="H81" s="238"/>
      <c r="I81" s="239"/>
      <c r="J81" s="153">
        <f t="shared" si="32"/>
        <v>0</v>
      </c>
      <c r="K81" s="153">
        <f t="shared" si="33"/>
        <v>0</v>
      </c>
      <c r="L81" s="153"/>
      <c r="M81" s="154">
        <f t="shared" si="34"/>
        <v>0</v>
      </c>
      <c r="O81" s="205"/>
    </row>
    <row r="82" spans="1:15" s="117" customFormat="1" ht="25.5" x14ac:dyDescent="0.25">
      <c r="A82" s="257">
        <f t="shared" si="0"/>
        <v>72</v>
      </c>
      <c r="B82" s="139" t="s">
        <v>113</v>
      </c>
      <c r="C82" s="156" t="s">
        <v>116</v>
      </c>
      <c r="D82" s="141" t="s">
        <v>22</v>
      </c>
      <c r="E82" s="142" t="s">
        <v>8</v>
      </c>
      <c r="F82" s="143">
        <v>1</v>
      </c>
      <c r="G82" s="144">
        <f>7.5+7.52</f>
        <v>15.02</v>
      </c>
      <c r="H82" s="236"/>
      <c r="I82" s="237"/>
      <c r="J82" s="145">
        <f>I82</f>
        <v>0</v>
      </c>
      <c r="K82" s="145"/>
      <c r="L82" s="145">
        <f>G82*I82</f>
        <v>0</v>
      </c>
      <c r="M82" s="146">
        <f>L82</f>
        <v>0</v>
      </c>
      <c r="O82" s="203"/>
    </row>
    <row r="83" spans="1:15" s="155" customFormat="1" ht="25.5" x14ac:dyDescent="0.25">
      <c r="A83" s="258">
        <f t="shared" si="0"/>
        <v>73</v>
      </c>
      <c r="B83" s="158" t="s">
        <v>68</v>
      </c>
      <c r="C83" s="148" t="s">
        <v>67</v>
      </c>
      <c r="D83" s="149" t="s">
        <v>25</v>
      </c>
      <c r="E83" s="150" t="s">
        <v>8</v>
      </c>
      <c r="F83" s="151">
        <v>1.07</v>
      </c>
      <c r="G83" s="152">
        <f>G82*F83</f>
        <v>16.07</v>
      </c>
      <c r="H83" s="238"/>
      <c r="I83" s="239"/>
      <c r="J83" s="153">
        <f t="shared" ref="J83:J85" si="35">H83</f>
        <v>0</v>
      </c>
      <c r="K83" s="153">
        <f t="shared" ref="K83:K85" si="36">G83*H83</f>
        <v>0</v>
      </c>
      <c r="L83" s="153"/>
      <c r="M83" s="154">
        <f t="shared" ref="M83:M85" si="37">K83</f>
        <v>0</v>
      </c>
      <c r="O83" s="205"/>
    </row>
    <row r="84" spans="1:15" s="155" customFormat="1" ht="25.5" x14ac:dyDescent="0.25">
      <c r="A84" s="258">
        <f t="shared" si="0"/>
        <v>74</v>
      </c>
      <c r="B84" s="147"/>
      <c r="C84" s="148" t="s">
        <v>9</v>
      </c>
      <c r="D84" s="149" t="s">
        <v>25</v>
      </c>
      <c r="E84" s="150" t="s">
        <v>10</v>
      </c>
      <c r="F84" s="151">
        <v>12</v>
      </c>
      <c r="G84" s="152">
        <f>G82*F84</f>
        <v>180.24</v>
      </c>
      <c r="H84" s="238"/>
      <c r="I84" s="239"/>
      <c r="J84" s="153">
        <f t="shared" si="35"/>
        <v>0</v>
      </c>
      <c r="K84" s="153">
        <f t="shared" si="36"/>
        <v>0</v>
      </c>
      <c r="L84" s="153"/>
      <c r="M84" s="154">
        <f t="shared" si="37"/>
        <v>0</v>
      </c>
      <c r="O84" s="205"/>
    </row>
    <row r="85" spans="1:15" s="155" customFormat="1" ht="25.5" x14ac:dyDescent="0.25">
      <c r="A85" s="258">
        <f t="shared" si="0"/>
        <v>75</v>
      </c>
      <c r="B85" s="147"/>
      <c r="C85" s="148" t="s">
        <v>11</v>
      </c>
      <c r="D85" s="149" t="s">
        <v>25</v>
      </c>
      <c r="E85" s="150" t="s">
        <v>10</v>
      </c>
      <c r="F85" s="151">
        <v>0.25</v>
      </c>
      <c r="G85" s="152">
        <f>G82*F85</f>
        <v>3.76</v>
      </c>
      <c r="H85" s="238"/>
      <c r="I85" s="239"/>
      <c r="J85" s="153">
        <f t="shared" si="35"/>
        <v>0</v>
      </c>
      <c r="K85" s="153">
        <f t="shared" si="36"/>
        <v>0</v>
      </c>
      <c r="L85" s="153"/>
      <c r="M85" s="154">
        <f t="shared" si="37"/>
        <v>0</v>
      </c>
      <c r="O85" s="205"/>
    </row>
    <row r="86" spans="1:15" s="117" customFormat="1" ht="25.5" x14ac:dyDescent="0.25">
      <c r="A86" s="257">
        <f t="shared" si="0"/>
        <v>76</v>
      </c>
      <c r="B86" s="139" t="s">
        <v>113</v>
      </c>
      <c r="C86" s="156" t="s">
        <v>115</v>
      </c>
      <c r="D86" s="141" t="s">
        <v>22</v>
      </c>
      <c r="E86" s="142" t="s">
        <v>8</v>
      </c>
      <c r="F86" s="143">
        <v>1</v>
      </c>
      <c r="G86" s="144">
        <f>4.1+4.1</f>
        <v>8.1999999999999993</v>
      </c>
      <c r="H86" s="236"/>
      <c r="I86" s="237"/>
      <c r="J86" s="145">
        <f>I86</f>
        <v>0</v>
      </c>
      <c r="K86" s="145"/>
      <c r="L86" s="145">
        <f>G86*I86</f>
        <v>0</v>
      </c>
      <c r="M86" s="146">
        <f>L86</f>
        <v>0</v>
      </c>
      <c r="O86" s="203"/>
    </row>
    <row r="87" spans="1:15" s="155" customFormat="1" ht="25.5" x14ac:dyDescent="0.25">
      <c r="A87" s="258">
        <f t="shared" si="0"/>
        <v>77</v>
      </c>
      <c r="B87" s="158" t="s">
        <v>69</v>
      </c>
      <c r="C87" s="148" t="s">
        <v>67</v>
      </c>
      <c r="D87" s="149" t="s">
        <v>25</v>
      </c>
      <c r="E87" s="150" t="s">
        <v>8</v>
      </c>
      <c r="F87" s="151">
        <v>1.07</v>
      </c>
      <c r="G87" s="152">
        <f>G86*F87</f>
        <v>8.77</v>
      </c>
      <c r="H87" s="238"/>
      <c r="I87" s="239"/>
      <c r="J87" s="153">
        <f t="shared" ref="J87:J89" si="38">H87</f>
        <v>0</v>
      </c>
      <c r="K87" s="153">
        <f t="shared" ref="K87:K89" si="39">G87*H87</f>
        <v>0</v>
      </c>
      <c r="L87" s="153"/>
      <c r="M87" s="154">
        <f t="shared" ref="M87:M89" si="40">K87</f>
        <v>0</v>
      </c>
      <c r="O87" s="205"/>
    </row>
    <row r="88" spans="1:15" s="155" customFormat="1" ht="25.5" x14ac:dyDescent="0.25">
      <c r="A88" s="258">
        <f t="shared" si="0"/>
        <v>78</v>
      </c>
      <c r="B88" s="147"/>
      <c r="C88" s="148" t="s">
        <v>9</v>
      </c>
      <c r="D88" s="149" t="s">
        <v>25</v>
      </c>
      <c r="E88" s="150" t="s">
        <v>10</v>
      </c>
      <c r="F88" s="151">
        <v>12</v>
      </c>
      <c r="G88" s="152">
        <f>G86*F88</f>
        <v>98.4</v>
      </c>
      <c r="H88" s="238"/>
      <c r="I88" s="239"/>
      <c r="J88" s="153">
        <f t="shared" si="38"/>
        <v>0</v>
      </c>
      <c r="K88" s="153">
        <f t="shared" si="39"/>
        <v>0</v>
      </c>
      <c r="L88" s="153"/>
      <c r="M88" s="154">
        <f t="shared" si="40"/>
        <v>0</v>
      </c>
      <c r="O88" s="205"/>
    </row>
    <row r="89" spans="1:15" s="155" customFormat="1" ht="25.5" x14ac:dyDescent="0.25">
      <c r="A89" s="258">
        <f t="shared" si="0"/>
        <v>79</v>
      </c>
      <c r="B89" s="147"/>
      <c r="C89" s="148" t="s">
        <v>11</v>
      </c>
      <c r="D89" s="149" t="s">
        <v>25</v>
      </c>
      <c r="E89" s="150" t="s">
        <v>10</v>
      </c>
      <c r="F89" s="151">
        <v>0.25</v>
      </c>
      <c r="G89" s="152">
        <f>G86*F89</f>
        <v>2.0499999999999998</v>
      </c>
      <c r="H89" s="238"/>
      <c r="I89" s="239"/>
      <c r="J89" s="153">
        <f t="shared" si="38"/>
        <v>0</v>
      </c>
      <c r="K89" s="153">
        <f t="shared" si="39"/>
        <v>0</v>
      </c>
      <c r="L89" s="153"/>
      <c r="M89" s="154">
        <f t="shared" si="40"/>
        <v>0</v>
      </c>
      <c r="O89" s="205"/>
    </row>
    <row r="90" spans="1:15" s="117" customFormat="1" ht="25.5" x14ac:dyDescent="0.25">
      <c r="A90" s="257">
        <f t="shared" si="0"/>
        <v>80</v>
      </c>
      <c r="B90" s="139" t="s">
        <v>113</v>
      </c>
      <c r="C90" s="156" t="s">
        <v>17</v>
      </c>
      <c r="D90" s="141" t="s">
        <v>22</v>
      </c>
      <c r="E90" s="142" t="s">
        <v>12</v>
      </c>
      <c r="F90" s="143">
        <v>1</v>
      </c>
      <c r="G90" s="144">
        <v>35</v>
      </c>
      <c r="H90" s="236"/>
      <c r="I90" s="237"/>
      <c r="J90" s="145">
        <f>I90</f>
        <v>0</v>
      </c>
      <c r="K90" s="145"/>
      <c r="L90" s="145">
        <f>G90*I90</f>
        <v>0</v>
      </c>
      <c r="M90" s="146">
        <f>L90</f>
        <v>0</v>
      </c>
      <c r="O90" s="203"/>
    </row>
    <row r="91" spans="1:15" s="155" customFormat="1" ht="25.5" x14ac:dyDescent="0.25">
      <c r="A91" s="258">
        <f t="shared" si="0"/>
        <v>81</v>
      </c>
      <c r="B91" s="147" t="s">
        <v>65</v>
      </c>
      <c r="C91" s="148" t="s">
        <v>66</v>
      </c>
      <c r="D91" s="149" t="s">
        <v>25</v>
      </c>
      <c r="E91" s="150" t="s">
        <v>8</v>
      </c>
      <c r="F91" s="151">
        <v>1.07</v>
      </c>
      <c r="G91" s="152">
        <f>G90*0.1*F91</f>
        <v>3.75</v>
      </c>
      <c r="H91" s="238"/>
      <c r="I91" s="239"/>
      <c r="J91" s="153">
        <f t="shared" ref="J91:J94" si="41">H91</f>
        <v>0</v>
      </c>
      <c r="K91" s="153">
        <f t="shared" ref="K91:K94" si="42">G91*H91</f>
        <v>0</v>
      </c>
      <c r="L91" s="153"/>
      <c r="M91" s="154">
        <f t="shared" ref="M91:M94" si="43">K91</f>
        <v>0</v>
      </c>
      <c r="O91" s="205"/>
    </row>
    <row r="92" spans="1:15" s="155" customFormat="1" ht="25.5" x14ac:dyDescent="0.25">
      <c r="A92" s="258">
        <f t="shared" si="0"/>
        <v>82</v>
      </c>
      <c r="B92" s="147"/>
      <c r="C92" s="148" t="s">
        <v>9</v>
      </c>
      <c r="D92" s="149" t="s">
        <v>25</v>
      </c>
      <c r="E92" s="150" t="s">
        <v>10</v>
      </c>
      <c r="F92" s="151">
        <v>12</v>
      </c>
      <c r="G92" s="152">
        <f>G90*0.1*F92</f>
        <v>42</v>
      </c>
      <c r="H92" s="238"/>
      <c r="I92" s="239"/>
      <c r="J92" s="153">
        <f t="shared" si="41"/>
        <v>0</v>
      </c>
      <c r="K92" s="153">
        <f t="shared" si="42"/>
        <v>0</v>
      </c>
      <c r="L92" s="153"/>
      <c r="M92" s="154">
        <f t="shared" si="43"/>
        <v>0</v>
      </c>
      <c r="O92" s="205"/>
    </row>
    <row r="93" spans="1:15" s="155" customFormat="1" ht="25.5" x14ac:dyDescent="0.25">
      <c r="A93" s="258">
        <f t="shared" si="0"/>
        <v>83</v>
      </c>
      <c r="B93" s="147"/>
      <c r="C93" s="148" t="s">
        <v>11</v>
      </c>
      <c r="D93" s="149" t="s">
        <v>25</v>
      </c>
      <c r="E93" s="150" t="s">
        <v>10</v>
      </c>
      <c r="F93" s="151">
        <v>0.25</v>
      </c>
      <c r="G93" s="152">
        <f>G90*0.1*F93</f>
        <v>0.88</v>
      </c>
      <c r="H93" s="238"/>
      <c r="I93" s="239"/>
      <c r="J93" s="153">
        <f t="shared" si="41"/>
        <v>0</v>
      </c>
      <c r="K93" s="153">
        <f t="shared" si="42"/>
        <v>0</v>
      </c>
      <c r="L93" s="153"/>
      <c r="M93" s="154">
        <f t="shared" si="43"/>
        <v>0</v>
      </c>
      <c r="O93" s="205"/>
    </row>
    <row r="94" spans="1:15" s="155" customFormat="1" ht="25.5" x14ac:dyDescent="0.25">
      <c r="A94" s="258">
        <f t="shared" si="0"/>
        <v>84</v>
      </c>
      <c r="B94" s="147"/>
      <c r="C94" s="148" t="s">
        <v>46</v>
      </c>
      <c r="D94" s="149" t="s">
        <v>25</v>
      </c>
      <c r="E94" s="150" t="s">
        <v>12</v>
      </c>
      <c r="F94" s="151">
        <v>1.1000000000000001</v>
      </c>
      <c r="G94" s="152">
        <f>G90*F94</f>
        <v>38.5</v>
      </c>
      <c r="H94" s="238"/>
      <c r="I94" s="239"/>
      <c r="J94" s="153">
        <f t="shared" si="41"/>
        <v>0</v>
      </c>
      <c r="K94" s="153">
        <f t="shared" si="42"/>
        <v>0</v>
      </c>
      <c r="L94" s="153"/>
      <c r="M94" s="154">
        <f t="shared" si="43"/>
        <v>0</v>
      </c>
      <c r="O94" s="205"/>
    </row>
    <row r="95" spans="1:15" s="117" customFormat="1" ht="12.75" x14ac:dyDescent="0.25">
      <c r="A95" s="257">
        <f t="shared" si="0"/>
        <v>85</v>
      </c>
      <c r="B95" s="139" t="s">
        <v>113</v>
      </c>
      <c r="C95" s="156" t="s">
        <v>47</v>
      </c>
      <c r="D95" s="141" t="s">
        <v>22</v>
      </c>
      <c r="E95" s="142" t="s">
        <v>8</v>
      </c>
      <c r="F95" s="143">
        <v>1</v>
      </c>
      <c r="G95" s="144">
        <f>G96</f>
        <v>13.5</v>
      </c>
      <c r="H95" s="236"/>
      <c r="I95" s="237"/>
      <c r="J95" s="145">
        <f>I95</f>
        <v>0</v>
      </c>
      <c r="K95" s="145"/>
      <c r="L95" s="145">
        <f>G95*I95</f>
        <v>0</v>
      </c>
      <c r="M95" s="146">
        <f>L95</f>
        <v>0</v>
      </c>
      <c r="O95" s="203"/>
    </row>
    <row r="96" spans="1:15" s="155" customFormat="1" ht="25.5" x14ac:dyDescent="0.25">
      <c r="A96" s="258">
        <f t="shared" si="0"/>
        <v>86</v>
      </c>
      <c r="B96" s="147" t="s">
        <v>73</v>
      </c>
      <c r="C96" s="148" t="s">
        <v>70</v>
      </c>
      <c r="D96" s="149" t="s">
        <v>25</v>
      </c>
      <c r="E96" s="150" t="s">
        <v>8</v>
      </c>
      <c r="F96" s="151">
        <v>1</v>
      </c>
      <c r="G96" s="152">
        <f>9+4.5</f>
        <v>13.5</v>
      </c>
      <c r="H96" s="243"/>
      <c r="I96" s="239"/>
      <c r="J96" s="153">
        <f t="shared" ref="J96:J97" si="44">H96</f>
        <v>0</v>
      </c>
      <c r="K96" s="153">
        <f t="shared" ref="K96:K97" si="45">G96*H96</f>
        <v>0</v>
      </c>
      <c r="L96" s="153"/>
      <c r="M96" s="154">
        <f t="shared" ref="M96:M97" si="46">K96</f>
        <v>0</v>
      </c>
      <c r="O96" s="205"/>
    </row>
    <row r="97" spans="1:15" s="155" customFormat="1" ht="25.5" x14ac:dyDescent="0.25">
      <c r="A97" s="258">
        <f t="shared" si="0"/>
        <v>87</v>
      </c>
      <c r="B97" s="147" t="s">
        <v>74</v>
      </c>
      <c r="C97" s="148" t="s">
        <v>71</v>
      </c>
      <c r="D97" s="149" t="s">
        <v>25</v>
      </c>
      <c r="E97" s="150" t="s">
        <v>24</v>
      </c>
      <c r="F97" s="151">
        <v>1.1000000000000001</v>
      </c>
      <c r="G97" s="152">
        <f>21.8*F97</f>
        <v>23.98</v>
      </c>
      <c r="H97" s="243"/>
      <c r="I97" s="239"/>
      <c r="J97" s="153">
        <f t="shared" si="44"/>
        <v>0</v>
      </c>
      <c r="K97" s="153">
        <f t="shared" si="45"/>
        <v>0</v>
      </c>
      <c r="L97" s="153"/>
      <c r="M97" s="154">
        <f t="shared" si="46"/>
        <v>0</v>
      </c>
      <c r="O97" s="205"/>
    </row>
    <row r="98" spans="1:15" s="117" customFormat="1" ht="12.75" x14ac:dyDescent="0.25">
      <c r="A98" s="257">
        <f t="shared" si="0"/>
        <v>88</v>
      </c>
      <c r="B98" s="139" t="s">
        <v>113</v>
      </c>
      <c r="C98" s="156" t="s">
        <v>48</v>
      </c>
      <c r="D98" s="141" t="s">
        <v>22</v>
      </c>
      <c r="E98" s="142" t="s">
        <v>8</v>
      </c>
      <c r="F98" s="143">
        <v>1</v>
      </c>
      <c r="G98" s="144">
        <f>G99</f>
        <v>5.2</v>
      </c>
      <c r="H98" s="236"/>
      <c r="I98" s="237"/>
      <c r="J98" s="145">
        <f>I98</f>
        <v>0</v>
      </c>
      <c r="K98" s="145"/>
      <c r="L98" s="145">
        <f>G98*I98</f>
        <v>0</v>
      </c>
      <c r="M98" s="146">
        <f>L98</f>
        <v>0</v>
      </c>
      <c r="O98" s="203"/>
    </row>
    <row r="99" spans="1:15" s="155" customFormat="1" ht="25.5" x14ac:dyDescent="0.2">
      <c r="A99" s="258">
        <f t="shared" si="0"/>
        <v>89</v>
      </c>
      <c r="B99" s="147" t="s">
        <v>75</v>
      </c>
      <c r="C99" s="161" t="s">
        <v>72</v>
      </c>
      <c r="D99" s="149" t="s">
        <v>25</v>
      </c>
      <c r="E99" s="150" t="s">
        <v>8</v>
      </c>
      <c r="F99" s="151">
        <v>1</v>
      </c>
      <c r="G99" s="152">
        <f>2.4+2.8</f>
        <v>5.2</v>
      </c>
      <c r="H99" s="243"/>
      <c r="I99" s="239"/>
      <c r="J99" s="153">
        <f>H99</f>
        <v>0</v>
      </c>
      <c r="K99" s="153">
        <f>G99*H99</f>
        <v>0</v>
      </c>
      <c r="L99" s="153"/>
      <c r="M99" s="154">
        <f>K99</f>
        <v>0</v>
      </c>
      <c r="O99" s="205"/>
    </row>
    <row r="100" spans="1:15" s="117" customFormat="1" ht="12.75" x14ac:dyDescent="0.25">
      <c r="A100" s="255">
        <f>ROW()-10</f>
        <v>90</v>
      </c>
      <c r="B100" s="118" t="s">
        <v>84</v>
      </c>
      <c r="C100" s="119" t="s">
        <v>117</v>
      </c>
      <c r="D100" s="120"/>
      <c r="E100" s="121"/>
      <c r="F100" s="122"/>
      <c r="G100" s="123"/>
      <c r="H100" s="244"/>
      <c r="I100" s="245"/>
      <c r="J100" s="126"/>
      <c r="K100" s="126"/>
      <c r="L100" s="126"/>
      <c r="M100" s="127"/>
      <c r="O100" s="203"/>
    </row>
    <row r="101" spans="1:15" s="138" customFormat="1" ht="25.5" customHeight="1" x14ac:dyDescent="0.25">
      <c r="A101" s="256">
        <f>ROW()-10</f>
        <v>91</v>
      </c>
      <c r="B101" s="128" t="s">
        <v>87</v>
      </c>
      <c r="C101" s="129" t="s">
        <v>88</v>
      </c>
      <c r="D101" s="130"/>
      <c r="E101" s="131"/>
      <c r="F101" s="132"/>
      <c r="G101" s="133"/>
      <c r="H101" s="240"/>
      <c r="I101" s="241"/>
      <c r="J101" s="136"/>
      <c r="K101" s="136"/>
      <c r="L101" s="136"/>
      <c r="M101" s="137"/>
      <c r="O101" s="204"/>
    </row>
    <row r="102" spans="1:15" s="117" customFormat="1" ht="12.75" x14ac:dyDescent="0.25">
      <c r="A102" s="257">
        <f t="shared" si="13"/>
        <v>92</v>
      </c>
      <c r="B102" s="139" t="s">
        <v>99</v>
      </c>
      <c r="C102" s="140" t="s">
        <v>100</v>
      </c>
      <c r="D102" s="141" t="s">
        <v>22</v>
      </c>
      <c r="E102" s="142" t="s">
        <v>8</v>
      </c>
      <c r="F102" s="143">
        <v>1</v>
      </c>
      <c r="G102" s="144">
        <f>(51.4+15.3)*10</f>
        <v>667</v>
      </c>
      <c r="H102" s="236"/>
      <c r="I102" s="237"/>
      <c r="J102" s="145">
        <f>I102</f>
        <v>0</v>
      </c>
      <c r="K102" s="145"/>
      <c r="L102" s="145">
        <f>G102*I102</f>
        <v>0</v>
      </c>
      <c r="M102" s="146">
        <f>L102</f>
        <v>0</v>
      </c>
      <c r="O102" s="203"/>
    </row>
    <row r="103" spans="1:15" s="155" customFormat="1" ht="25.5" x14ac:dyDescent="0.25">
      <c r="A103" s="258">
        <f t="shared" si="13"/>
        <v>93</v>
      </c>
      <c r="B103" s="147"/>
      <c r="C103" s="157" t="s">
        <v>13</v>
      </c>
      <c r="D103" s="149" t="s">
        <v>25</v>
      </c>
      <c r="E103" s="150" t="s">
        <v>14</v>
      </c>
      <c r="F103" s="151">
        <v>0.1</v>
      </c>
      <c r="G103" s="152">
        <f>G102*F103</f>
        <v>66.7</v>
      </c>
      <c r="H103" s="238"/>
      <c r="I103" s="239"/>
      <c r="J103" s="153">
        <f t="shared" ref="J103:J105" si="47">H103</f>
        <v>0</v>
      </c>
      <c r="K103" s="153">
        <f t="shared" ref="K103:K105" si="48">G103*H103</f>
        <v>0</v>
      </c>
      <c r="L103" s="153"/>
      <c r="M103" s="154">
        <f t="shared" ref="M103:M105" si="49">K103</f>
        <v>0</v>
      </c>
      <c r="O103" s="205"/>
    </row>
    <row r="104" spans="1:15" s="155" customFormat="1" ht="25.5" x14ac:dyDescent="0.25">
      <c r="A104" s="258">
        <f t="shared" si="13"/>
        <v>94</v>
      </c>
      <c r="B104" s="147"/>
      <c r="C104" s="157" t="s">
        <v>101</v>
      </c>
      <c r="D104" s="149" t="s">
        <v>25</v>
      </c>
      <c r="E104" s="150" t="s">
        <v>10</v>
      </c>
      <c r="F104" s="151">
        <v>1.2</v>
      </c>
      <c r="G104" s="152">
        <f>G102*F104</f>
        <v>800.4</v>
      </c>
      <c r="H104" s="238"/>
      <c r="I104" s="239"/>
      <c r="J104" s="153">
        <f t="shared" si="47"/>
        <v>0</v>
      </c>
      <c r="K104" s="153">
        <f t="shared" si="48"/>
        <v>0</v>
      </c>
      <c r="L104" s="153"/>
      <c r="M104" s="154">
        <f t="shared" si="49"/>
        <v>0</v>
      </c>
      <c r="O104" s="205"/>
    </row>
    <row r="105" spans="1:15" s="155" customFormat="1" ht="25.5" x14ac:dyDescent="0.25">
      <c r="A105" s="258">
        <f t="shared" si="13"/>
        <v>95</v>
      </c>
      <c r="B105" s="147"/>
      <c r="C105" s="148" t="s">
        <v>23</v>
      </c>
      <c r="D105" s="149" t="s">
        <v>25</v>
      </c>
      <c r="E105" s="150" t="s">
        <v>10</v>
      </c>
      <c r="F105" s="151">
        <v>1.7</v>
      </c>
      <c r="G105" s="152">
        <f>G102*F105</f>
        <v>1133.9000000000001</v>
      </c>
      <c r="H105" s="238"/>
      <c r="I105" s="239"/>
      <c r="J105" s="153">
        <f t="shared" si="47"/>
        <v>0</v>
      </c>
      <c r="K105" s="153">
        <f t="shared" si="48"/>
        <v>0</v>
      </c>
      <c r="L105" s="153"/>
      <c r="M105" s="154">
        <f t="shared" si="49"/>
        <v>0</v>
      </c>
      <c r="O105" s="205"/>
    </row>
    <row r="106" spans="1:15" s="117" customFormat="1" ht="38.25" x14ac:dyDescent="0.25">
      <c r="A106" s="257">
        <f t="shared" si="13"/>
        <v>96</v>
      </c>
      <c r="B106" s="139" t="s">
        <v>102</v>
      </c>
      <c r="C106" s="156" t="s">
        <v>103</v>
      </c>
      <c r="D106" s="141" t="s">
        <v>22</v>
      </c>
      <c r="E106" s="142" t="s">
        <v>8</v>
      </c>
      <c r="F106" s="143">
        <v>1</v>
      </c>
      <c r="G106" s="144">
        <f>G102</f>
        <v>667</v>
      </c>
      <c r="H106" s="236"/>
      <c r="I106" s="237"/>
      <c r="J106" s="145">
        <f>I106</f>
        <v>0</v>
      </c>
      <c r="K106" s="145"/>
      <c r="L106" s="145">
        <f>G106*I106</f>
        <v>0</v>
      </c>
      <c r="M106" s="146">
        <f>L106</f>
        <v>0</v>
      </c>
      <c r="O106" s="203"/>
    </row>
    <row r="107" spans="1:15" s="155" customFormat="1" ht="25.5" x14ac:dyDescent="0.25">
      <c r="A107" s="258">
        <f t="shared" si="13"/>
        <v>97</v>
      </c>
      <c r="B107" s="147"/>
      <c r="C107" s="148" t="s">
        <v>13</v>
      </c>
      <c r="D107" s="149" t="s">
        <v>25</v>
      </c>
      <c r="E107" s="150" t="s">
        <v>14</v>
      </c>
      <c r="F107" s="151">
        <v>0.1</v>
      </c>
      <c r="G107" s="152">
        <f>G106*F107</f>
        <v>66.7</v>
      </c>
      <c r="H107" s="238"/>
      <c r="I107" s="239"/>
      <c r="J107" s="153">
        <f t="shared" ref="J107:J109" si="50">H107</f>
        <v>0</v>
      </c>
      <c r="K107" s="153">
        <f t="shared" ref="K107:K109" si="51">G107*H107</f>
        <v>0</v>
      </c>
      <c r="L107" s="153"/>
      <c r="M107" s="154">
        <f t="shared" ref="M107:M109" si="52">K107</f>
        <v>0</v>
      </c>
      <c r="O107" s="205"/>
    </row>
    <row r="108" spans="1:15" s="155" customFormat="1" ht="25.5" x14ac:dyDescent="0.25">
      <c r="A108" s="258">
        <f t="shared" si="13"/>
        <v>98</v>
      </c>
      <c r="B108" s="158"/>
      <c r="C108" s="148" t="s">
        <v>118</v>
      </c>
      <c r="D108" s="149" t="s">
        <v>25</v>
      </c>
      <c r="E108" s="150" t="s">
        <v>14</v>
      </c>
      <c r="F108" s="151">
        <v>0.3</v>
      </c>
      <c r="G108" s="152">
        <f>51.4*10*F108</f>
        <v>154.19999999999999</v>
      </c>
      <c r="H108" s="238"/>
      <c r="I108" s="239"/>
      <c r="J108" s="153">
        <f t="shared" si="50"/>
        <v>0</v>
      </c>
      <c r="K108" s="153">
        <f t="shared" si="51"/>
        <v>0</v>
      </c>
      <c r="L108" s="153"/>
      <c r="M108" s="154">
        <f t="shared" si="52"/>
        <v>0</v>
      </c>
      <c r="O108" s="205"/>
    </row>
    <row r="109" spans="1:15" s="155" customFormat="1" ht="25.5" x14ac:dyDescent="0.25">
      <c r="A109" s="258">
        <f t="shared" si="13"/>
        <v>99</v>
      </c>
      <c r="B109" s="158"/>
      <c r="C109" s="148" t="s">
        <v>122</v>
      </c>
      <c r="D109" s="149" t="s">
        <v>25</v>
      </c>
      <c r="E109" s="150" t="s">
        <v>14</v>
      </c>
      <c r="F109" s="151">
        <v>0.3</v>
      </c>
      <c r="G109" s="152">
        <f>15.3*10*F109</f>
        <v>45.9</v>
      </c>
      <c r="H109" s="238"/>
      <c r="I109" s="239"/>
      <c r="J109" s="153">
        <f t="shared" si="50"/>
        <v>0</v>
      </c>
      <c r="K109" s="153">
        <f t="shared" si="51"/>
        <v>0</v>
      </c>
      <c r="L109" s="153"/>
      <c r="M109" s="154">
        <f t="shared" si="52"/>
        <v>0</v>
      </c>
      <c r="O109" s="205"/>
    </row>
    <row r="110" spans="1:15" s="138" customFormat="1" ht="25.5" customHeight="1" x14ac:dyDescent="0.25">
      <c r="A110" s="256">
        <f>ROW()-10</f>
        <v>100</v>
      </c>
      <c r="B110" s="128" t="s">
        <v>110</v>
      </c>
      <c r="C110" s="129" t="s">
        <v>109</v>
      </c>
      <c r="D110" s="130"/>
      <c r="E110" s="131"/>
      <c r="F110" s="132"/>
      <c r="G110" s="133"/>
      <c r="H110" s="240"/>
      <c r="I110" s="241"/>
      <c r="J110" s="136"/>
      <c r="K110" s="136"/>
      <c r="L110" s="136"/>
      <c r="M110" s="137"/>
      <c r="O110" s="204"/>
    </row>
    <row r="111" spans="1:15" s="163" customFormat="1" ht="12.75" x14ac:dyDescent="0.25">
      <c r="A111" s="257">
        <f t="shared" si="13"/>
        <v>101</v>
      </c>
      <c r="B111" s="139" t="s">
        <v>110</v>
      </c>
      <c r="C111" s="140" t="s">
        <v>21</v>
      </c>
      <c r="D111" s="141" t="s">
        <v>22</v>
      </c>
      <c r="E111" s="142" t="s">
        <v>8</v>
      </c>
      <c r="F111" s="143">
        <v>1</v>
      </c>
      <c r="G111" s="162">
        <f>169.61*10</f>
        <v>1696.1</v>
      </c>
      <c r="H111" s="236"/>
      <c r="I111" s="237"/>
      <c r="J111" s="145">
        <f>I111</f>
        <v>0</v>
      </c>
      <c r="K111" s="145"/>
      <c r="L111" s="145">
        <f>G111*I111</f>
        <v>0</v>
      </c>
      <c r="M111" s="146">
        <f>L111</f>
        <v>0</v>
      </c>
      <c r="O111" s="206"/>
    </row>
    <row r="112" spans="1:15" s="163" customFormat="1" ht="25.5" x14ac:dyDescent="0.25">
      <c r="A112" s="258">
        <f t="shared" si="13"/>
        <v>102</v>
      </c>
      <c r="B112" s="147"/>
      <c r="C112" s="157" t="s">
        <v>13</v>
      </c>
      <c r="D112" s="149" t="s">
        <v>25</v>
      </c>
      <c r="E112" s="150" t="s">
        <v>14</v>
      </c>
      <c r="F112" s="151">
        <v>0.1</v>
      </c>
      <c r="G112" s="164">
        <f>G111*F112</f>
        <v>169.61</v>
      </c>
      <c r="H112" s="238"/>
      <c r="I112" s="239"/>
      <c r="J112" s="153">
        <f t="shared" ref="J112:J114" si="53">H112</f>
        <v>0</v>
      </c>
      <c r="K112" s="153">
        <f t="shared" ref="K112:K114" si="54">G112*H112</f>
        <v>0</v>
      </c>
      <c r="L112" s="153"/>
      <c r="M112" s="154">
        <f t="shared" ref="M112:M114" si="55">K112</f>
        <v>0</v>
      </c>
      <c r="O112" s="206"/>
    </row>
    <row r="113" spans="1:15" s="163" customFormat="1" ht="25.5" x14ac:dyDescent="0.25">
      <c r="A113" s="258">
        <f t="shared" si="13"/>
        <v>103</v>
      </c>
      <c r="B113" s="147"/>
      <c r="C113" s="157" t="s">
        <v>52</v>
      </c>
      <c r="D113" s="149" t="s">
        <v>25</v>
      </c>
      <c r="E113" s="150" t="s">
        <v>10</v>
      </c>
      <c r="F113" s="151">
        <v>1.2</v>
      </c>
      <c r="G113" s="164">
        <f>G111*F113</f>
        <v>2035.32</v>
      </c>
      <c r="H113" s="238"/>
      <c r="I113" s="246"/>
      <c r="J113" s="153">
        <f t="shared" si="53"/>
        <v>0</v>
      </c>
      <c r="K113" s="153">
        <f t="shared" si="54"/>
        <v>0</v>
      </c>
      <c r="L113" s="153"/>
      <c r="M113" s="154">
        <f t="shared" si="55"/>
        <v>0</v>
      </c>
      <c r="O113" s="206"/>
    </row>
    <row r="114" spans="1:15" s="163" customFormat="1" ht="25.5" x14ac:dyDescent="0.25">
      <c r="A114" s="258">
        <f t="shared" si="13"/>
        <v>104</v>
      </c>
      <c r="B114" s="147"/>
      <c r="C114" s="148" t="s">
        <v>23</v>
      </c>
      <c r="D114" s="149" t="s">
        <v>25</v>
      </c>
      <c r="E114" s="150" t="s">
        <v>10</v>
      </c>
      <c r="F114" s="151">
        <v>1.7</v>
      </c>
      <c r="G114" s="164">
        <f>G111*F114</f>
        <v>2883.37</v>
      </c>
      <c r="H114" s="238"/>
      <c r="I114" s="239"/>
      <c r="J114" s="153">
        <f t="shared" si="53"/>
        <v>0</v>
      </c>
      <c r="K114" s="153">
        <f t="shared" si="54"/>
        <v>0</v>
      </c>
      <c r="L114" s="153"/>
      <c r="M114" s="154">
        <f t="shared" si="55"/>
        <v>0</v>
      </c>
      <c r="O114" s="206"/>
    </row>
    <row r="115" spans="1:15" s="163" customFormat="1" ht="45" customHeight="1" x14ac:dyDescent="0.25">
      <c r="A115" s="257">
        <f t="shared" ref="A115:A146" si="56">ROW()-10</f>
        <v>105</v>
      </c>
      <c r="B115" s="139" t="s">
        <v>110</v>
      </c>
      <c r="C115" s="165" t="s">
        <v>18</v>
      </c>
      <c r="D115" s="141" t="s">
        <v>22</v>
      </c>
      <c r="E115" s="142" t="s">
        <v>8</v>
      </c>
      <c r="F115" s="143">
        <v>1</v>
      </c>
      <c r="G115" s="162">
        <f>15.69*10</f>
        <v>156.9</v>
      </c>
      <c r="H115" s="236"/>
      <c r="I115" s="237"/>
      <c r="J115" s="145">
        <f>I115</f>
        <v>0</v>
      </c>
      <c r="K115" s="145"/>
      <c r="L115" s="145">
        <f>G115*I115</f>
        <v>0</v>
      </c>
      <c r="M115" s="146">
        <f>L115</f>
        <v>0</v>
      </c>
      <c r="O115" s="206"/>
    </row>
    <row r="116" spans="1:15" s="155" customFormat="1" ht="25.5" x14ac:dyDescent="0.25">
      <c r="A116" s="258">
        <f t="shared" si="56"/>
        <v>106</v>
      </c>
      <c r="B116" s="147"/>
      <c r="C116" s="148" t="s">
        <v>58</v>
      </c>
      <c r="D116" s="149" t="s">
        <v>25</v>
      </c>
      <c r="E116" s="150" t="s">
        <v>8</v>
      </c>
      <c r="F116" s="151">
        <v>1.07</v>
      </c>
      <c r="G116" s="152">
        <f>G115*F116</f>
        <v>167.88</v>
      </c>
      <c r="H116" s="238"/>
      <c r="I116" s="239"/>
      <c r="J116" s="153">
        <f t="shared" ref="J116:J119" si="57">H116</f>
        <v>0</v>
      </c>
      <c r="K116" s="153">
        <f t="shared" ref="K116:K119" si="58">G116*H116</f>
        <v>0</v>
      </c>
      <c r="L116" s="153"/>
      <c r="M116" s="154">
        <f t="shared" ref="M116:M119" si="59">K116</f>
        <v>0</v>
      </c>
      <c r="O116" s="205"/>
    </row>
    <row r="117" spans="1:15" s="155" customFormat="1" ht="25.5" x14ac:dyDescent="0.25">
      <c r="A117" s="258">
        <f t="shared" si="13"/>
        <v>107</v>
      </c>
      <c r="B117" s="147"/>
      <c r="C117" s="148" t="s">
        <v>9</v>
      </c>
      <c r="D117" s="149" t="s">
        <v>25</v>
      </c>
      <c r="E117" s="150" t="s">
        <v>10</v>
      </c>
      <c r="F117" s="151">
        <v>12</v>
      </c>
      <c r="G117" s="152">
        <f>G115*0.3*F117</f>
        <v>564.84</v>
      </c>
      <c r="H117" s="238"/>
      <c r="I117" s="239"/>
      <c r="J117" s="153">
        <f t="shared" si="57"/>
        <v>0</v>
      </c>
      <c r="K117" s="153">
        <f t="shared" si="58"/>
        <v>0</v>
      </c>
      <c r="L117" s="153"/>
      <c r="M117" s="154">
        <f t="shared" si="59"/>
        <v>0</v>
      </c>
      <c r="O117" s="205"/>
    </row>
    <row r="118" spans="1:15" s="155" customFormat="1" ht="25.5" x14ac:dyDescent="0.25">
      <c r="A118" s="258">
        <f t="shared" si="13"/>
        <v>108</v>
      </c>
      <c r="B118" s="147"/>
      <c r="C118" s="148" t="s">
        <v>11</v>
      </c>
      <c r="D118" s="149" t="s">
        <v>25</v>
      </c>
      <c r="E118" s="150" t="s">
        <v>10</v>
      </c>
      <c r="F118" s="151">
        <v>0.25</v>
      </c>
      <c r="G118" s="152">
        <f>G115*0.3*F118</f>
        <v>11.77</v>
      </c>
      <c r="H118" s="238"/>
      <c r="I118" s="239"/>
      <c r="J118" s="153">
        <f t="shared" si="57"/>
        <v>0</v>
      </c>
      <c r="K118" s="153">
        <f t="shared" si="58"/>
        <v>0</v>
      </c>
      <c r="L118" s="153"/>
      <c r="M118" s="154">
        <f t="shared" si="59"/>
        <v>0</v>
      </c>
      <c r="O118" s="205"/>
    </row>
    <row r="119" spans="1:15" s="155" customFormat="1" ht="25.5" x14ac:dyDescent="0.25">
      <c r="A119" s="258">
        <f t="shared" si="13"/>
        <v>109</v>
      </c>
      <c r="B119" s="147"/>
      <c r="C119" s="148" t="s">
        <v>46</v>
      </c>
      <c r="D119" s="149" t="s">
        <v>25</v>
      </c>
      <c r="E119" s="150" t="s">
        <v>12</v>
      </c>
      <c r="F119" s="151">
        <v>1.1000000000000001</v>
      </c>
      <c r="G119" s="152">
        <f>7.73*10*F119</f>
        <v>85.03</v>
      </c>
      <c r="H119" s="238"/>
      <c r="I119" s="239"/>
      <c r="J119" s="153">
        <f t="shared" si="57"/>
        <v>0</v>
      </c>
      <c r="K119" s="153">
        <f t="shared" si="58"/>
        <v>0</v>
      </c>
      <c r="L119" s="153"/>
      <c r="M119" s="154">
        <f t="shared" si="59"/>
        <v>0</v>
      </c>
      <c r="O119" s="205"/>
    </row>
    <row r="120" spans="1:15" s="163" customFormat="1" ht="12.75" x14ac:dyDescent="0.25">
      <c r="A120" s="257">
        <f t="shared" si="56"/>
        <v>110</v>
      </c>
      <c r="B120" s="139" t="s">
        <v>110</v>
      </c>
      <c r="C120" s="156" t="s">
        <v>19</v>
      </c>
      <c r="D120" s="141" t="s">
        <v>22</v>
      </c>
      <c r="E120" s="142" t="s">
        <v>8</v>
      </c>
      <c r="F120" s="143">
        <v>1</v>
      </c>
      <c r="G120" s="162">
        <f>G111</f>
        <v>1696.1</v>
      </c>
      <c r="H120" s="236"/>
      <c r="I120" s="237"/>
      <c r="J120" s="145">
        <f>I120</f>
        <v>0</v>
      </c>
      <c r="K120" s="145"/>
      <c r="L120" s="145">
        <f>G120*I120</f>
        <v>0</v>
      </c>
      <c r="M120" s="146">
        <f>L120</f>
        <v>0</v>
      </c>
      <c r="O120" s="206"/>
    </row>
    <row r="121" spans="1:15" s="155" customFormat="1" ht="25.5" x14ac:dyDescent="0.25">
      <c r="A121" s="258">
        <f t="shared" si="13"/>
        <v>111</v>
      </c>
      <c r="B121" s="147"/>
      <c r="C121" s="148" t="s">
        <v>13</v>
      </c>
      <c r="D121" s="149" t="s">
        <v>25</v>
      </c>
      <c r="E121" s="150" t="s">
        <v>14</v>
      </c>
      <c r="F121" s="151">
        <v>0.1</v>
      </c>
      <c r="G121" s="152">
        <f>G120*F121</f>
        <v>169.61</v>
      </c>
      <c r="H121" s="238"/>
      <c r="I121" s="239"/>
      <c r="J121" s="153">
        <f t="shared" ref="J121:J124" si="60">H121</f>
        <v>0</v>
      </c>
      <c r="K121" s="153">
        <f t="shared" ref="K121:K124" si="61">G121*H121</f>
        <v>0</v>
      </c>
      <c r="L121" s="153"/>
      <c r="M121" s="154">
        <f t="shared" ref="M121:M124" si="62">K121</f>
        <v>0</v>
      </c>
      <c r="O121" s="205"/>
    </row>
    <row r="122" spans="1:15" s="155" customFormat="1" ht="25.5" x14ac:dyDescent="0.25">
      <c r="A122" s="258">
        <f t="shared" si="13"/>
        <v>112</v>
      </c>
      <c r="B122" s="147"/>
      <c r="C122" s="148" t="s">
        <v>104</v>
      </c>
      <c r="D122" s="149" t="s">
        <v>25</v>
      </c>
      <c r="E122" s="150" t="s">
        <v>14</v>
      </c>
      <c r="F122" s="151">
        <v>0.3</v>
      </c>
      <c r="G122" s="152">
        <f>149.68*10*F122</f>
        <v>449.04</v>
      </c>
      <c r="H122" s="238"/>
      <c r="I122" s="239"/>
      <c r="J122" s="153">
        <f t="shared" si="60"/>
        <v>0</v>
      </c>
      <c r="K122" s="153">
        <f t="shared" si="61"/>
        <v>0</v>
      </c>
      <c r="L122" s="153"/>
      <c r="M122" s="154">
        <f t="shared" si="62"/>
        <v>0</v>
      </c>
      <c r="O122" s="205"/>
    </row>
    <row r="123" spans="1:15" s="155" customFormat="1" ht="25.5" x14ac:dyDescent="0.25">
      <c r="A123" s="258">
        <f t="shared" si="13"/>
        <v>113</v>
      </c>
      <c r="B123" s="147"/>
      <c r="C123" s="148" t="s">
        <v>105</v>
      </c>
      <c r="D123" s="149" t="s">
        <v>25</v>
      </c>
      <c r="E123" s="150" t="s">
        <v>14</v>
      </c>
      <c r="F123" s="151">
        <v>0.3</v>
      </c>
      <c r="G123" s="152">
        <f>13.02*10*F123</f>
        <v>39.06</v>
      </c>
      <c r="H123" s="238"/>
      <c r="I123" s="239"/>
      <c r="J123" s="153">
        <f t="shared" si="60"/>
        <v>0</v>
      </c>
      <c r="K123" s="153">
        <f t="shared" si="61"/>
        <v>0</v>
      </c>
      <c r="L123" s="153"/>
      <c r="M123" s="154">
        <f t="shared" si="62"/>
        <v>0</v>
      </c>
      <c r="O123" s="205"/>
    </row>
    <row r="124" spans="1:15" s="155" customFormat="1" ht="25.5" x14ac:dyDescent="0.25">
      <c r="A124" s="258">
        <f t="shared" si="13"/>
        <v>114</v>
      </c>
      <c r="B124" s="147"/>
      <c r="C124" s="148" t="s">
        <v>106</v>
      </c>
      <c r="D124" s="149" t="s">
        <v>25</v>
      </c>
      <c r="E124" s="150" t="s">
        <v>14</v>
      </c>
      <c r="F124" s="151">
        <v>0.3</v>
      </c>
      <c r="G124" s="152">
        <f>6.91*10*F124</f>
        <v>20.73</v>
      </c>
      <c r="H124" s="238"/>
      <c r="I124" s="239"/>
      <c r="J124" s="153">
        <f t="shared" si="60"/>
        <v>0</v>
      </c>
      <c r="K124" s="153">
        <f t="shared" si="61"/>
        <v>0</v>
      </c>
      <c r="L124" s="153"/>
      <c r="M124" s="154">
        <f t="shared" si="62"/>
        <v>0</v>
      </c>
      <c r="O124" s="205"/>
    </row>
    <row r="125" spans="1:15" s="163" customFormat="1" ht="21.75" customHeight="1" x14ac:dyDescent="0.25">
      <c r="A125" s="257">
        <f t="shared" si="56"/>
        <v>115</v>
      </c>
      <c r="B125" s="139" t="s">
        <v>110</v>
      </c>
      <c r="C125" s="156" t="s">
        <v>20</v>
      </c>
      <c r="D125" s="141" t="s">
        <v>22</v>
      </c>
      <c r="E125" s="142" t="s">
        <v>24</v>
      </c>
      <c r="F125" s="143">
        <v>1</v>
      </c>
      <c r="G125" s="162">
        <f>84.12*10</f>
        <v>841.2</v>
      </c>
      <c r="H125" s="236"/>
      <c r="I125" s="237"/>
      <c r="J125" s="145">
        <f>I125</f>
        <v>0</v>
      </c>
      <c r="K125" s="145"/>
      <c r="L125" s="145">
        <f>G125*I125</f>
        <v>0</v>
      </c>
      <c r="M125" s="146">
        <f>L125</f>
        <v>0</v>
      </c>
      <c r="O125" s="206"/>
    </row>
    <row r="126" spans="1:15" s="163" customFormat="1" ht="25.5" customHeight="1" x14ac:dyDescent="0.25">
      <c r="A126" s="258">
        <f t="shared" si="56"/>
        <v>116</v>
      </c>
      <c r="B126" s="147"/>
      <c r="C126" s="148" t="s">
        <v>32</v>
      </c>
      <c r="D126" s="149" t="s">
        <v>25</v>
      </c>
      <c r="E126" s="150" t="s">
        <v>10</v>
      </c>
      <c r="F126" s="151">
        <v>0.05</v>
      </c>
      <c r="G126" s="152">
        <f>G125*0.2*F126</f>
        <v>8.41</v>
      </c>
      <c r="H126" s="238"/>
      <c r="I126" s="239"/>
      <c r="J126" s="153">
        <f t="shared" ref="J126:J130" si="63">H126</f>
        <v>0</v>
      </c>
      <c r="K126" s="153">
        <f t="shared" ref="K126:K130" si="64">G126*H126</f>
        <v>0</v>
      </c>
      <c r="L126" s="153"/>
      <c r="M126" s="154">
        <f t="shared" ref="M126:M130" si="65">K126</f>
        <v>0</v>
      </c>
      <c r="O126" s="206"/>
    </row>
    <row r="127" spans="1:15" s="163" customFormat="1" ht="25.5" x14ac:dyDescent="0.25">
      <c r="A127" s="258">
        <f t="shared" si="56"/>
        <v>117</v>
      </c>
      <c r="B127" s="147"/>
      <c r="C127" s="148" t="s">
        <v>33</v>
      </c>
      <c r="D127" s="149" t="s">
        <v>25</v>
      </c>
      <c r="E127" s="150" t="s">
        <v>10</v>
      </c>
      <c r="F127" s="151">
        <v>10</v>
      </c>
      <c r="G127" s="152">
        <f>G125*0.2*F127</f>
        <v>1682.4</v>
      </c>
      <c r="H127" s="238"/>
      <c r="I127" s="239"/>
      <c r="J127" s="153">
        <f t="shared" si="63"/>
        <v>0</v>
      </c>
      <c r="K127" s="153">
        <f t="shared" si="64"/>
        <v>0</v>
      </c>
      <c r="L127" s="153"/>
      <c r="M127" s="154">
        <f t="shared" si="65"/>
        <v>0</v>
      </c>
      <c r="O127" s="206"/>
    </row>
    <row r="128" spans="1:15" s="163" customFormat="1" ht="25.5" x14ac:dyDescent="0.25">
      <c r="A128" s="258">
        <f t="shared" si="56"/>
        <v>118</v>
      </c>
      <c r="B128" s="147"/>
      <c r="C128" s="148" t="s">
        <v>13</v>
      </c>
      <c r="D128" s="149" t="s">
        <v>25</v>
      </c>
      <c r="E128" s="150" t="s">
        <v>14</v>
      </c>
      <c r="F128" s="151">
        <v>0.1</v>
      </c>
      <c r="G128" s="152">
        <f>G125*0.2*F128</f>
        <v>16.82</v>
      </c>
      <c r="H128" s="238"/>
      <c r="I128" s="239"/>
      <c r="J128" s="153">
        <f t="shared" si="63"/>
        <v>0</v>
      </c>
      <c r="K128" s="153">
        <f t="shared" si="64"/>
        <v>0</v>
      </c>
      <c r="L128" s="153"/>
      <c r="M128" s="154">
        <f t="shared" si="65"/>
        <v>0</v>
      </c>
      <c r="O128" s="206"/>
    </row>
    <row r="129" spans="1:16" s="163" customFormat="1" ht="25.5" x14ac:dyDescent="0.25">
      <c r="A129" s="258">
        <f t="shared" si="56"/>
        <v>119</v>
      </c>
      <c r="B129" s="147"/>
      <c r="C129" s="148" t="s">
        <v>23</v>
      </c>
      <c r="D129" s="160" t="s">
        <v>25</v>
      </c>
      <c r="E129" s="150" t="s">
        <v>10</v>
      </c>
      <c r="F129" s="151">
        <v>1.7</v>
      </c>
      <c r="G129" s="152">
        <f>G125*0.2*F129</f>
        <v>286.01</v>
      </c>
      <c r="H129" s="238"/>
      <c r="I129" s="239"/>
      <c r="J129" s="153">
        <f t="shared" si="63"/>
        <v>0</v>
      </c>
      <c r="K129" s="153">
        <f t="shared" si="64"/>
        <v>0</v>
      </c>
      <c r="L129" s="153"/>
      <c r="M129" s="154">
        <f t="shared" si="65"/>
        <v>0</v>
      </c>
      <c r="O129" s="206"/>
    </row>
    <row r="130" spans="1:16" s="155" customFormat="1" ht="25.5" x14ac:dyDescent="0.25">
      <c r="A130" s="258">
        <f t="shared" si="13"/>
        <v>120</v>
      </c>
      <c r="B130" s="147"/>
      <c r="C130" s="148" t="s">
        <v>104</v>
      </c>
      <c r="D130" s="149" t="s">
        <v>25</v>
      </c>
      <c r="E130" s="150" t="s">
        <v>14</v>
      </c>
      <c r="F130" s="151">
        <v>0.3</v>
      </c>
      <c r="G130" s="152">
        <f>84.12*0.2*10*F130</f>
        <v>50.47</v>
      </c>
      <c r="H130" s="238"/>
      <c r="I130" s="242"/>
      <c r="J130" s="153">
        <f t="shared" si="63"/>
        <v>0</v>
      </c>
      <c r="K130" s="153">
        <f t="shared" si="64"/>
        <v>0</v>
      </c>
      <c r="L130" s="153"/>
      <c r="M130" s="154">
        <f t="shared" si="65"/>
        <v>0</v>
      </c>
      <c r="O130" s="205"/>
    </row>
    <row r="131" spans="1:16" s="138" customFormat="1" ht="25.5" customHeight="1" x14ac:dyDescent="0.25">
      <c r="A131" s="256">
        <f>ROW()-10</f>
        <v>121</v>
      </c>
      <c r="B131" s="128" t="s">
        <v>113</v>
      </c>
      <c r="C131" s="129" t="s">
        <v>112</v>
      </c>
      <c r="D131" s="130"/>
      <c r="E131" s="131"/>
      <c r="F131" s="132"/>
      <c r="G131" s="133"/>
      <c r="H131" s="240"/>
      <c r="I131" s="241"/>
      <c r="J131" s="136"/>
      <c r="K131" s="136"/>
      <c r="L131" s="136"/>
      <c r="M131" s="137"/>
      <c r="O131" s="204"/>
    </row>
    <row r="132" spans="1:16" s="163" customFormat="1" ht="12.75" x14ac:dyDescent="0.25">
      <c r="A132" s="257">
        <f t="shared" si="13"/>
        <v>122</v>
      </c>
      <c r="B132" s="139" t="s">
        <v>113</v>
      </c>
      <c r="C132" s="156" t="s">
        <v>16</v>
      </c>
      <c r="D132" s="141" t="s">
        <v>22</v>
      </c>
      <c r="E132" s="142" t="s">
        <v>8</v>
      </c>
      <c r="F132" s="143">
        <v>1</v>
      </c>
      <c r="G132" s="162">
        <f>52.4*10</f>
        <v>524</v>
      </c>
      <c r="H132" s="236"/>
      <c r="I132" s="237"/>
      <c r="J132" s="145">
        <f>I132</f>
        <v>0</v>
      </c>
      <c r="K132" s="145"/>
      <c r="L132" s="145">
        <f>G132*I132</f>
        <v>0</v>
      </c>
      <c r="M132" s="146">
        <f>L132</f>
        <v>0</v>
      </c>
      <c r="O132" s="206"/>
    </row>
    <row r="133" spans="1:16" s="163" customFormat="1" ht="25.5" x14ac:dyDescent="0.25">
      <c r="A133" s="258">
        <f t="shared" si="13"/>
        <v>123</v>
      </c>
      <c r="B133" s="158" t="s">
        <v>59</v>
      </c>
      <c r="C133" s="148" t="s">
        <v>58</v>
      </c>
      <c r="D133" s="149" t="s">
        <v>25</v>
      </c>
      <c r="E133" s="150" t="s">
        <v>8</v>
      </c>
      <c r="F133" s="151">
        <v>1.07</v>
      </c>
      <c r="G133" s="164">
        <f>G132*F133</f>
        <v>560.67999999999995</v>
      </c>
      <c r="H133" s="238"/>
      <c r="I133" s="239"/>
      <c r="J133" s="153">
        <f t="shared" ref="J133:J135" si="66">H133</f>
        <v>0</v>
      </c>
      <c r="K133" s="153">
        <f t="shared" ref="K133:K135" si="67">G133*H133</f>
        <v>0</v>
      </c>
      <c r="L133" s="153"/>
      <c r="M133" s="154">
        <f t="shared" ref="M133:M135" si="68">K133</f>
        <v>0</v>
      </c>
      <c r="O133" s="206"/>
    </row>
    <row r="134" spans="1:16" s="163" customFormat="1" ht="25.5" x14ac:dyDescent="0.25">
      <c r="A134" s="258">
        <f t="shared" si="13"/>
        <v>124</v>
      </c>
      <c r="B134" s="147"/>
      <c r="C134" s="148" t="s">
        <v>9</v>
      </c>
      <c r="D134" s="149" t="s">
        <v>25</v>
      </c>
      <c r="E134" s="150" t="s">
        <v>10</v>
      </c>
      <c r="F134" s="151">
        <v>12</v>
      </c>
      <c r="G134" s="164">
        <f>G132*F134</f>
        <v>6288</v>
      </c>
      <c r="H134" s="238"/>
      <c r="I134" s="239"/>
      <c r="J134" s="153">
        <f t="shared" si="66"/>
        <v>0</v>
      </c>
      <c r="K134" s="153">
        <f t="shared" si="67"/>
        <v>0</v>
      </c>
      <c r="L134" s="153"/>
      <c r="M134" s="154">
        <f t="shared" si="68"/>
        <v>0</v>
      </c>
      <c r="O134" s="206"/>
    </row>
    <row r="135" spans="1:16" s="163" customFormat="1" ht="25.5" x14ac:dyDescent="0.25">
      <c r="A135" s="258">
        <f t="shared" si="13"/>
        <v>125</v>
      </c>
      <c r="B135" s="147"/>
      <c r="C135" s="148" t="s">
        <v>11</v>
      </c>
      <c r="D135" s="149" t="s">
        <v>25</v>
      </c>
      <c r="E135" s="150" t="s">
        <v>10</v>
      </c>
      <c r="F135" s="151">
        <v>0.25</v>
      </c>
      <c r="G135" s="164">
        <f>G132*F135</f>
        <v>131</v>
      </c>
      <c r="H135" s="238"/>
      <c r="I135" s="239"/>
      <c r="J135" s="153">
        <f t="shared" si="66"/>
        <v>0</v>
      </c>
      <c r="K135" s="153">
        <f t="shared" si="67"/>
        <v>0</v>
      </c>
      <c r="L135" s="153"/>
      <c r="M135" s="154">
        <f t="shared" si="68"/>
        <v>0</v>
      </c>
      <c r="O135" s="206"/>
    </row>
    <row r="136" spans="1:16" s="163" customFormat="1" ht="12.75" x14ac:dyDescent="0.25">
      <c r="A136" s="257">
        <f t="shared" si="56"/>
        <v>126</v>
      </c>
      <c r="B136" s="139" t="s">
        <v>113</v>
      </c>
      <c r="C136" s="156" t="s">
        <v>62</v>
      </c>
      <c r="D136" s="141" t="s">
        <v>22</v>
      </c>
      <c r="E136" s="142" t="s">
        <v>8</v>
      </c>
      <c r="F136" s="143">
        <v>1</v>
      </c>
      <c r="G136" s="162">
        <f>8*10</f>
        <v>80</v>
      </c>
      <c r="H136" s="236"/>
      <c r="I136" s="237"/>
      <c r="J136" s="145">
        <f>I136</f>
        <v>0</v>
      </c>
      <c r="K136" s="145"/>
      <c r="L136" s="145">
        <f>G136*I136</f>
        <v>0</v>
      </c>
      <c r="M136" s="146">
        <f>L136</f>
        <v>0</v>
      </c>
      <c r="O136" s="206"/>
    </row>
    <row r="137" spans="1:16" s="163" customFormat="1" ht="25.5" x14ac:dyDescent="0.25">
      <c r="A137" s="258">
        <f t="shared" si="56"/>
        <v>127</v>
      </c>
      <c r="B137" s="158" t="s">
        <v>64</v>
      </c>
      <c r="C137" s="148" t="s">
        <v>67</v>
      </c>
      <c r="D137" s="149" t="s">
        <v>25</v>
      </c>
      <c r="E137" s="150" t="s">
        <v>8</v>
      </c>
      <c r="F137" s="151">
        <v>1.07</v>
      </c>
      <c r="G137" s="164">
        <f>G136*F137</f>
        <v>85.6</v>
      </c>
      <c r="H137" s="238"/>
      <c r="I137" s="239"/>
      <c r="J137" s="153">
        <f t="shared" ref="J137:J139" si="69">H137</f>
        <v>0</v>
      </c>
      <c r="K137" s="153">
        <f t="shared" ref="K137:K139" si="70">G137*H137</f>
        <v>0</v>
      </c>
      <c r="L137" s="153"/>
      <c r="M137" s="154">
        <f t="shared" ref="M137:M139" si="71">K137</f>
        <v>0</v>
      </c>
      <c r="O137" s="206"/>
    </row>
    <row r="138" spans="1:16" s="163" customFormat="1" ht="25.5" x14ac:dyDescent="0.25">
      <c r="A138" s="258">
        <f t="shared" si="56"/>
        <v>128</v>
      </c>
      <c r="B138" s="147"/>
      <c r="C138" s="148" t="s">
        <v>9</v>
      </c>
      <c r="D138" s="149" t="s">
        <v>25</v>
      </c>
      <c r="E138" s="150" t="s">
        <v>10</v>
      </c>
      <c r="F138" s="151">
        <v>12</v>
      </c>
      <c r="G138" s="164">
        <f>G136*F138</f>
        <v>960</v>
      </c>
      <c r="H138" s="238"/>
      <c r="I138" s="239"/>
      <c r="J138" s="153">
        <f t="shared" si="69"/>
        <v>0</v>
      </c>
      <c r="K138" s="153">
        <f t="shared" si="70"/>
        <v>0</v>
      </c>
      <c r="L138" s="153"/>
      <c r="M138" s="154">
        <f t="shared" si="71"/>
        <v>0</v>
      </c>
      <c r="O138" s="206"/>
    </row>
    <row r="139" spans="1:16" s="163" customFormat="1" ht="25.5" x14ac:dyDescent="0.25">
      <c r="A139" s="258">
        <f t="shared" si="56"/>
        <v>129</v>
      </c>
      <c r="B139" s="147"/>
      <c r="C139" s="148" t="s">
        <v>11</v>
      </c>
      <c r="D139" s="149" t="s">
        <v>25</v>
      </c>
      <c r="E139" s="150" t="s">
        <v>10</v>
      </c>
      <c r="F139" s="151">
        <v>0.25</v>
      </c>
      <c r="G139" s="164">
        <f>G136*F139</f>
        <v>20</v>
      </c>
      <c r="H139" s="238"/>
      <c r="I139" s="239"/>
      <c r="J139" s="153">
        <f t="shared" si="69"/>
        <v>0</v>
      </c>
      <c r="K139" s="153">
        <f t="shared" si="70"/>
        <v>0</v>
      </c>
      <c r="L139" s="153"/>
      <c r="M139" s="154">
        <f t="shared" si="71"/>
        <v>0</v>
      </c>
      <c r="O139" s="206"/>
    </row>
    <row r="140" spans="1:16" s="163" customFormat="1" ht="25.5" x14ac:dyDescent="0.25">
      <c r="A140" s="257">
        <f t="shared" si="13"/>
        <v>130</v>
      </c>
      <c r="B140" s="139" t="s">
        <v>113</v>
      </c>
      <c r="C140" s="156" t="s">
        <v>17</v>
      </c>
      <c r="D140" s="141" t="s">
        <v>22</v>
      </c>
      <c r="E140" s="142" t="s">
        <v>12</v>
      </c>
      <c r="F140" s="143">
        <v>1</v>
      </c>
      <c r="G140" s="162">
        <f>48.3*10+10.4*10</f>
        <v>587</v>
      </c>
      <c r="H140" s="236"/>
      <c r="I140" s="237"/>
      <c r="J140" s="145">
        <f>I140</f>
        <v>0</v>
      </c>
      <c r="K140" s="145"/>
      <c r="L140" s="145">
        <f>G140*I140</f>
        <v>0</v>
      </c>
      <c r="M140" s="146">
        <f>L140</f>
        <v>0</v>
      </c>
      <c r="O140" s="206"/>
    </row>
    <row r="141" spans="1:16" s="163" customFormat="1" ht="25.5" x14ac:dyDescent="0.25">
      <c r="A141" s="258">
        <f t="shared" si="13"/>
        <v>131</v>
      </c>
      <c r="B141" s="147" t="s">
        <v>65</v>
      </c>
      <c r="C141" s="148" t="s">
        <v>66</v>
      </c>
      <c r="D141" s="149" t="s">
        <v>25</v>
      </c>
      <c r="E141" s="150" t="s">
        <v>8</v>
      </c>
      <c r="F141" s="151">
        <v>1.07</v>
      </c>
      <c r="G141" s="164">
        <f>G140*0.1*F141</f>
        <v>62.81</v>
      </c>
      <c r="H141" s="238"/>
      <c r="I141" s="239"/>
      <c r="J141" s="153">
        <f t="shared" ref="J141:J143" si="72">H141</f>
        <v>0</v>
      </c>
      <c r="K141" s="153">
        <f t="shared" ref="K141:K143" si="73">G141*H141</f>
        <v>0</v>
      </c>
      <c r="L141" s="153"/>
      <c r="M141" s="154">
        <f t="shared" ref="M141:M143" si="74">K141</f>
        <v>0</v>
      </c>
      <c r="O141" s="206"/>
    </row>
    <row r="142" spans="1:16" s="163" customFormat="1" ht="25.5" x14ac:dyDescent="0.25">
      <c r="A142" s="258">
        <f t="shared" si="13"/>
        <v>132</v>
      </c>
      <c r="B142" s="147"/>
      <c r="C142" s="148" t="s">
        <v>9</v>
      </c>
      <c r="D142" s="149" t="s">
        <v>25</v>
      </c>
      <c r="E142" s="150" t="s">
        <v>10</v>
      </c>
      <c r="F142" s="151">
        <v>12</v>
      </c>
      <c r="G142" s="164">
        <f>G140*0.1*F142</f>
        <v>704.4</v>
      </c>
      <c r="H142" s="238"/>
      <c r="I142" s="239"/>
      <c r="J142" s="153">
        <f t="shared" si="72"/>
        <v>0</v>
      </c>
      <c r="K142" s="153">
        <f t="shared" si="73"/>
        <v>0</v>
      </c>
      <c r="L142" s="153"/>
      <c r="M142" s="154">
        <f t="shared" si="74"/>
        <v>0</v>
      </c>
      <c r="O142" s="206"/>
    </row>
    <row r="143" spans="1:16" s="163" customFormat="1" ht="25.5" x14ac:dyDescent="0.25">
      <c r="A143" s="258">
        <f t="shared" si="13"/>
        <v>133</v>
      </c>
      <c r="B143" s="147"/>
      <c r="C143" s="148" t="s">
        <v>11</v>
      </c>
      <c r="D143" s="149" t="s">
        <v>25</v>
      </c>
      <c r="E143" s="150" t="s">
        <v>10</v>
      </c>
      <c r="F143" s="151">
        <v>0.25</v>
      </c>
      <c r="G143" s="164">
        <f>G140*0.1*F143</f>
        <v>14.68</v>
      </c>
      <c r="H143" s="238"/>
      <c r="I143" s="239"/>
      <c r="J143" s="153">
        <f t="shared" si="72"/>
        <v>0</v>
      </c>
      <c r="K143" s="153">
        <f t="shared" si="73"/>
        <v>0</v>
      </c>
      <c r="L143" s="153"/>
      <c r="M143" s="154">
        <f t="shared" si="74"/>
        <v>0</v>
      </c>
      <c r="O143" s="206"/>
    </row>
    <row r="144" spans="1:16" s="163" customFormat="1" ht="12.75" x14ac:dyDescent="0.25">
      <c r="A144" s="257">
        <f t="shared" si="56"/>
        <v>134</v>
      </c>
      <c r="B144" s="139" t="s">
        <v>113</v>
      </c>
      <c r="C144" s="156" t="s">
        <v>76</v>
      </c>
      <c r="D144" s="141" t="s">
        <v>22</v>
      </c>
      <c r="E144" s="142" t="s">
        <v>12</v>
      </c>
      <c r="F144" s="143">
        <v>1</v>
      </c>
      <c r="G144" s="162">
        <f>5.8*10</f>
        <v>58</v>
      </c>
      <c r="H144" s="236"/>
      <c r="I144" s="237"/>
      <c r="J144" s="145">
        <f>I144</f>
        <v>0</v>
      </c>
      <c r="K144" s="145"/>
      <c r="L144" s="145">
        <f>G144*I144</f>
        <v>0</v>
      </c>
      <c r="M144" s="146">
        <f>L144</f>
        <v>0</v>
      </c>
      <c r="N144" s="166"/>
      <c r="O144" s="206"/>
      <c r="P144" s="167"/>
    </row>
    <row r="145" spans="1:16" s="163" customFormat="1" ht="25.5" x14ac:dyDescent="0.25">
      <c r="A145" s="258">
        <f t="shared" si="56"/>
        <v>135</v>
      </c>
      <c r="B145" s="147"/>
      <c r="C145" s="148" t="s">
        <v>130</v>
      </c>
      <c r="D145" s="149" t="s">
        <v>25</v>
      </c>
      <c r="E145" s="150" t="s">
        <v>14</v>
      </c>
      <c r="F145" s="151">
        <v>0.3</v>
      </c>
      <c r="G145" s="164">
        <f>G144*0.1*F145</f>
        <v>1.74</v>
      </c>
      <c r="H145" s="238"/>
      <c r="I145" s="239"/>
      <c r="J145" s="153">
        <f t="shared" ref="J145:J146" si="75">H145</f>
        <v>0</v>
      </c>
      <c r="K145" s="153">
        <f t="shared" ref="K145:K146" si="76">G145*H145</f>
        <v>0</v>
      </c>
      <c r="L145" s="153"/>
      <c r="M145" s="154">
        <f t="shared" ref="M145:M146" si="77">K145</f>
        <v>0</v>
      </c>
      <c r="N145" s="166"/>
      <c r="O145" s="206"/>
      <c r="P145" s="167"/>
    </row>
    <row r="146" spans="1:16" s="163" customFormat="1" ht="25.5" x14ac:dyDescent="0.25">
      <c r="A146" s="258">
        <f t="shared" si="56"/>
        <v>136</v>
      </c>
      <c r="B146" s="147"/>
      <c r="C146" s="148" t="s">
        <v>13</v>
      </c>
      <c r="D146" s="149" t="s">
        <v>25</v>
      </c>
      <c r="E146" s="150" t="s">
        <v>14</v>
      </c>
      <c r="F146" s="151">
        <v>0.1</v>
      </c>
      <c r="G146" s="164">
        <f>G144*0.1*F146</f>
        <v>0.57999999999999996</v>
      </c>
      <c r="H146" s="238"/>
      <c r="I146" s="239"/>
      <c r="J146" s="153">
        <f t="shared" si="75"/>
        <v>0</v>
      </c>
      <c r="K146" s="153">
        <f t="shared" si="76"/>
        <v>0</v>
      </c>
      <c r="L146" s="153"/>
      <c r="M146" s="154">
        <f t="shared" si="77"/>
        <v>0</v>
      </c>
      <c r="N146" s="166"/>
      <c r="O146" s="206"/>
      <c r="P146" s="167"/>
    </row>
    <row r="147" spans="1:16" s="117" customFormat="1" ht="12.75" x14ac:dyDescent="0.25">
      <c r="A147" s="255">
        <f>ROW()-10</f>
        <v>137</v>
      </c>
      <c r="B147" s="118" t="s">
        <v>84</v>
      </c>
      <c r="C147" s="119" t="s">
        <v>119</v>
      </c>
      <c r="D147" s="120"/>
      <c r="E147" s="121"/>
      <c r="F147" s="122"/>
      <c r="G147" s="123"/>
      <c r="H147" s="244"/>
      <c r="I147" s="245"/>
      <c r="J147" s="126"/>
      <c r="K147" s="126"/>
      <c r="L147" s="126"/>
      <c r="M147" s="127"/>
      <c r="O147" s="203"/>
    </row>
    <row r="148" spans="1:16" s="138" customFormat="1" ht="25.5" customHeight="1" x14ac:dyDescent="0.25">
      <c r="A148" s="256">
        <f>ROW()-10</f>
        <v>138</v>
      </c>
      <c r="B148" s="128" t="s">
        <v>87</v>
      </c>
      <c r="C148" s="129" t="s">
        <v>88</v>
      </c>
      <c r="D148" s="130"/>
      <c r="E148" s="131"/>
      <c r="F148" s="132"/>
      <c r="G148" s="133"/>
      <c r="H148" s="240"/>
      <c r="I148" s="241"/>
      <c r="J148" s="136"/>
      <c r="K148" s="136"/>
      <c r="L148" s="136"/>
      <c r="M148" s="137"/>
      <c r="O148" s="204"/>
    </row>
    <row r="149" spans="1:16" s="117" customFormat="1" ht="12.75" x14ac:dyDescent="0.25">
      <c r="A149" s="257">
        <f t="shared" ref="A149:A150" si="78">ROW()-10</f>
        <v>139</v>
      </c>
      <c r="B149" s="139" t="s">
        <v>96</v>
      </c>
      <c r="C149" s="156" t="s">
        <v>97</v>
      </c>
      <c r="D149" s="141" t="s">
        <v>22</v>
      </c>
      <c r="E149" s="142" t="s">
        <v>8</v>
      </c>
      <c r="F149" s="143">
        <v>1</v>
      </c>
      <c r="G149" s="144">
        <v>50.9</v>
      </c>
      <c r="H149" s="236"/>
      <c r="I149" s="237"/>
      <c r="J149" s="145">
        <f>I149</f>
        <v>0</v>
      </c>
      <c r="K149" s="145"/>
      <c r="L149" s="145">
        <f>G149*I149</f>
        <v>0</v>
      </c>
      <c r="M149" s="146">
        <f>L149</f>
        <v>0</v>
      </c>
      <c r="O149" s="203"/>
    </row>
    <row r="150" spans="1:16" s="155" customFormat="1" ht="25.5" x14ac:dyDescent="0.25">
      <c r="A150" s="258">
        <f t="shared" si="78"/>
        <v>140</v>
      </c>
      <c r="B150" s="147"/>
      <c r="C150" s="148" t="s">
        <v>120</v>
      </c>
      <c r="D150" s="149" t="s">
        <v>25</v>
      </c>
      <c r="E150" s="150" t="s">
        <v>12</v>
      </c>
      <c r="F150" s="151">
        <v>1.1000000000000001</v>
      </c>
      <c r="G150" s="152">
        <f>G149*11*F150</f>
        <v>615.89</v>
      </c>
      <c r="H150" s="238"/>
      <c r="I150" s="239"/>
      <c r="J150" s="153">
        <f>H150</f>
        <v>0</v>
      </c>
      <c r="K150" s="153">
        <f>G150*H150</f>
        <v>0</v>
      </c>
      <c r="L150" s="153"/>
      <c r="M150" s="154">
        <f>K150</f>
        <v>0</v>
      </c>
      <c r="O150" s="205"/>
    </row>
    <row r="151" spans="1:16" s="117" customFormat="1" ht="12.75" x14ac:dyDescent="0.25">
      <c r="A151" s="257">
        <f t="shared" ref="A151:A158" si="79">ROW()-10</f>
        <v>141</v>
      </c>
      <c r="B151" s="139" t="s">
        <v>99</v>
      </c>
      <c r="C151" s="140" t="s">
        <v>100</v>
      </c>
      <c r="D151" s="141" t="s">
        <v>22</v>
      </c>
      <c r="E151" s="142" t="s">
        <v>8</v>
      </c>
      <c r="F151" s="143">
        <v>1</v>
      </c>
      <c r="G151" s="144">
        <v>15.4</v>
      </c>
      <c r="H151" s="236"/>
      <c r="I151" s="237"/>
      <c r="J151" s="145">
        <f>I151</f>
        <v>0</v>
      </c>
      <c r="K151" s="145"/>
      <c r="L151" s="145">
        <f>G151*I151</f>
        <v>0</v>
      </c>
      <c r="M151" s="146">
        <f>L151</f>
        <v>0</v>
      </c>
      <c r="O151" s="203"/>
    </row>
    <row r="152" spans="1:16" s="155" customFormat="1" ht="25.5" x14ac:dyDescent="0.25">
      <c r="A152" s="258">
        <f t="shared" si="79"/>
        <v>142</v>
      </c>
      <c r="B152" s="147"/>
      <c r="C152" s="157" t="s">
        <v>13</v>
      </c>
      <c r="D152" s="149" t="s">
        <v>25</v>
      </c>
      <c r="E152" s="150" t="s">
        <v>14</v>
      </c>
      <c r="F152" s="151">
        <v>0.1</v>
      </c>
      <c r="G152" s="152">
        <f>G151*F152</f>
        <v>1.54</v>
      </c>
      <c r="H152" s="238"/>
      <c r="I152" s="239"/>
      <c r="J152" s="153">
        <f t="shared" ref="J152:J154" si="80">H152</f>
        <v>0</v>
      </c>
      <c r="K152" s="153">
        <f t="shared" ref="K152:K154" si="81">G152*H152</f>
        <v>0</v>
      </c>
      <c r="L152" s="153"/>
      <c r="M152" s="154">
        <f t="shared" ref="M152:M154" si="82">K152</f>
        <v>0</v>
      </c>
      <c r="O152" s="205"/>
    </row>
    <row r="153" spans="1:16" s="155" customFormat="1" ht="25.5" x14ac:dyDescent="0.25">
      <c r="A153" s="258">
        <f t="shared" si="79"/>
        <v>143</v>
      </c>
      <c r="B153" s="147"/>
      <c r="C153" s="157" t="s">
        <v>101</v>
      </c>
      <c r="D153" s="149" t="s">
        <v>25</v>
      </c>
      <c r="E153" s="150" t="s">
        <v>10</v>
      </c>
      <c r="F153" s="151">
        <v>1.2</v>
      </c>
      <c r="G153" s="152">
        <f>G151*F153</f>
        <v>18.48</v>
      </c>
      <c r="H153" s="238"/>
      <c r="I153" s="239"/>
      <c r="J153" s="153">
        <f t="shared" si="80"/>
        <v>0</v>
      </c>
      <c r="K153" s="153">
        <f t="shared" si="81"/>
        <v>0</v>
      </c>
      <c r="L153" s="153"/>
      <c r="M153" s="154">
        <f t="shared" si="82"/>
        <v>0</v>
      </c>
      <c r="O153" s="205"/>
    </row>
    <row r="154" spans="1:16" s="155" customFormat="1" ht="25.5" x14ac:dyDescent="0.25">
      <c r="A154" s="258">
        <f t="shared" si="79"/>
        <v>144</v>
      </c>
      <c r="B154" s="147"/>
      <c r="C154" s="148" t="s">
        <v>23</v>
      </c>
      <c r="D154" s="149" t="s">
        <v>25</v>
      </c>
      <c r="E154" s="150" t="s">
        <v>10</v>
      </c>
      <c r="F154" s="151">
        <v>1.7</v>
      </c>
      <c r="G154" s="152">
        <f>G151*F154</f>
        <v>26.18</v>
      </c>
      <c r="H154" s="238"/>
      <c r="I154" s="239"/>
      <c r="J154" s="153">
        <f t="shared" si="80"/>
        <v>0</v>
      </c>
      <c r="K154" s="153">
        <f t="shared" si="81"/>
        <v>0</v>
      </c>
      <c r="L154" s="153"/>
      <c r="M154" s="154">
        <f t="shared" si="82"/>
        <v>0</v>
      </c>
      <c r="O154" s="205"/>
    </row>
    <row r="155" spans="1:16" s="117" customFormat="1" ht="38.25" x14ac:dyDescent="0.25">
      <c r="A155" s="257">
        <f t="shared" si="79"/>
        <v>145</v>
      </c>
      <c r="B155" s="139" t="s">
        <v>102</v>
      </c>
      <c r="C155" s="156" t="s">
        <v>103</v>
      </c>
      <c r="D155" s="141" t="s">
        <v>22</v>
      </c>
      <c r="E155" s="142" t="s">
        <v>8</v>
      </c>
      <c r="F155" s="143">
        <v>1</v>
      </c>
      <c r="G155" s="144">
        <f>G149+G151</f>
        <v>66.3</v>
      </c>
      <c r="H155" s="236"/>
      <c r="I155" s="237"/>
      <c r="J155" s="145">
        <f>I155</f>
        <v>0</v>
      </c>
      <c r="K155" s="145"/>
      <c r="L155" s="145">
        <f>G155*I155</f>
        <v>0</v>
      </c>
      <c r="M155" s="146">
        <f>L155</f>
        <v>0</v>
      </c>
      <c r="O155" s="203"/>
    </row>
    <row r="156" spans="1:16" s="155" customFormat="1" ht="25.5" x14ac:dyDescent="0.25">
      <c r="A156" s="258">
        <f t="shared" si="79"/>
        <v>146</v>
      </c>
      <c r="B156" s="147"/>
      <c r="C156" s="148" t="s">
        <v>13</v>
      </c>
      <c r="D156" s="149" t="s">
        <v>25</v>
      </c>
      <c r="E156" s="150" t="s">
        <v>14</v>
      </c>
      <c r="F156" s="151">
        <v>0.1</v>
      </c>
      <c r="G156" s="152">
        <f>G155*F156</f>
        <v>6.63</v>
      </c>
      <c r="H156" s="238"/>
      <c r="I156" s="239"/>
      <c r="J156" s="153">
        <f t="shared" ref="J156:J158" si="83">H156</f>
        <v>0</v>
      </c>
      <c r="K156" s="153">
        <f t="shared" ref="K156:K158" si="84">G156*H156</f>
        <v>0</v>
      </c>
      <c r="L156" s="153"/>
      <c r="M156" s="154">
        <f t="shared" ref="M156:M158" si="85">K156</f>
        <v>0</v>
      </c>
      <c r="O156" s="205"/>
    </row>
    <row r="157" spans="1:16" s="168" customFormat="1" ht="25.5" x14ac:dyDescent="0.25">
      <c r="A157" s="258">
        <f t="shared" si="79"/>
        <v>147</v>
      </c>
      <c r="B157" s="158"/>
      <c r="C157" s="148" t="s">
        <v>118</v>
      </c>
      <c r="D157" s="149" t="s">
        <v>25</v>
      </c>
      <c r="E157" s="150" t="s">
        <v>14</v>
      </c>
      <c r="F157" s="151">
        <v>0.3</v>
      </c>
      <c r="G157" s="152">
        <f>15.4*F157</f>
        <v>4.62</v>
      </c>
      <c r="H157" s="238"/>
      <c r="I157" s="239"/>
      <c r="J157" s="153">
        <f t="shared" si="83"/>
        <v>0</v>
      </c>
      <c r="K157" s="153">
        <f t="shared" si="84"/>
        <v>0</v>
      </c>
      <c r="L157" s="153"/>
      <c r="M157" s="154">
        <f t="shared" si="85"/>
        <v>0</v>
      </c>
      <c r="O157" s="207"/>
    </row>
    <row r="158" spans="1:16" s="168" customFormat="1" ht="51" x14ac:dyDescent="0.25">
      <c r="A158" s="258">
        <f t="shared" si="79"/>
        <v>148</v>
      </c>
      <c r="B158" s="158" t="s">
        <v>121</v>
      </c>
      <c r="C158" s="148" t="s">
        <v>106</v>
      </c>
      <c r="D158" s="149" t="s">
        <v>25</v>
      </c>
      <c r="E158" s="150" t="s">
        <v>14</v>
      </c>
      <c r="F158" s="151">
        <v>0.3</v>
      </c>
      <c r="G158" s="152">
        <f>(50.9+74.65*0.2)*F158</f>
        <v>19.75</v>
      </c>
      <c r="H158" s="238"/>
      <c r="I158" s="239"/>
      <c r="J158" s="153">
        <f t="shared" si="83"/>
        <v>0</v>
      </c>
      <c r="K158" s="153">
        <f t="shared" si="84"/>
        <v>0</v>
      </c>
      <c r="L158" s="153"/>
      <c r="M158" s="154">
        <f t="shared" si="85"/>
        <v>0</v>
      </c>
      <c r="O158" s="207"/>
    </row>
    <row r="159" spans="1:16" s="138" customFormat="1" ht="25.5" customHeight="1" x14ac:dyDescent="0.25">
      <c r="A159" s="256">
        <f>ROW()-10</f>
        <v>149</v>
      </c>
      <c r="B159" s="128" t="s">
        <v>110</v>
      </c>
      <c r="C159" s="129" t="s">
        <v>109</v>
      </c>
      <c r="D159" s="130"/>
      <c r="E159" s="131"/>
      <c r="F159" s="132"/>
      <c r="G159" s="133"/>
      <c r="H159" s="240"/>
      <c r="I159" s="241"/>
      <c r="J159" s="136"/>
      <c r="K159" s="136"/>
      <c r="L159" s="136"/>
      <c r="M159" s="137"/>
      <c r="O159" s="204"/>
    </row>
    <row r="160" spans="1:16" s="163" customFormat="1" ht="12.75" x14ac:dyDescent="0.25">
      <c r="A160" s="257">
        <f t="shared" ref="A160:A179" si="86">ROW()-10</f>
        <v>150</v>
      </c>
      <c r="B160" s="139" t="s">
        <v>110</v>
      </c>
      <c r="C160" s="140" t="s">
        <v>21</v>
      </c>
      <c r="D160" s="141" t="s">
        <v>22</v>
      </c>
      <c r="E160" s="142" t="s">
        <v>8</v>
      </c>
      <c r="F160" s="143">
        <v>1</v>
      </c>
      <c r="G160" s="162">
        <f>154.71</f>
        <v>154.71</v>
      </c>
      <c r="H160" s="236"/>
      <c r="I160" s="237"/>
      <c r="J160" s="145">
        <f>I160</f>
        <v>0</v>
      </c>
      <c r="K160" s="145"/>
      <c r="L160" s="145">
        <f>G160*I160</f>
        <v>0</v>
      </c>
      <c r="M160" s="146">
        <f>L160</f>
        <v>0</v>
      </c>
      <c r="O160" s="206"/>
    </row>
    <row r="161" spans="1:15" s="163" customFormat="1" ht="25.5" x14ac:dyDescent="0.25">
      <c r="A161" s="258">
        <f t="shared" si="86"/>
        <v>151</v>
      </c>
      <c r="B161" s="147"/>
      <c r="C161" s="157" t="s">
        <v>13</v>
      </c>
      <c r="D161" s="149" t="s">
        <v>25</v>
      </c>
      <c r="E161" s="150" t="s">
        <v>14</v>
      </c>
      <c r="F161" s="151">
        <v>0.1</v>
      </c>
      <c r="G161" s="164">
        <f>G160*F161</f>
        <v>15.47</v>
      </c>
      <c r="H161" s="238"/>
      <c r="I161" s="239"/>
      <c r="J161" s="153">
        <f t="shared" ref="J161:J163" si="87">H161</f>
        <v>0</v>
      </c>
      <c r="K161" s="153">
        <f t="shared" ref="K161:K163" si="88">G161*H161</f>
        <v>0</v>
      </c>
      <c r="L161" s="153"/>
      <c r="M161" s="154">
        <f t="shared" ref="M161:M163" si="89">K161</f>
        <v>0</v>
      </c>
      <c r="O161" s="206"/>
    </row>
    <row r="162" spans="1:15" s="163" customFormat="1" ht="25.5" x14ac:dyDescent="0.25">
      <c r="A162" s="258">
        <f t="shared" si="86"/>
        <v>152</v>
      </c>
      <c r="B162" s="147"/>
      <c r="C162" s="157" t="s">
        <v>52</v>
      </c>
      <c r="D162" s="149" t="s">
        <v>25</v>
      </c>
      <c r="E162" s="150" t="s">
        <v>10</v>
      </c>
      <c r="F162" s="151">
        <v>1.2</v>
      </c>
      <c r="G162" s="164">
        <f>G160*F162</f>
        <v>185.65</v>
      </c>
      <c r="H162" s="238"/>
      <c r="I162" s="246"/>
      <c r="J162" s="153">
        <f t="shared" si="87"/>
        <v>0</v>
      </c>
      <c r="K162" s="153">
        <f t="shared" si="88"/>
        <v>0</v>
      </c>
      <c r="L162" s="153"/>
      <c r="M162" s="154">
        <f t="shared" si="89"/>
        <v>0</v>
      </c>
      <c r="O162" s="206"/>
    </row>
    <row r="163" spans="1:15" s="163" customFormat="1" ht="25.5" x14ac:dyDescent="0.25">
      <c r="A163" s="258">
        <f t="shared" si="86"/>
        <v>153</v>
      </c>
      <c r="B163" s="147"/>
      <c r="C163" s="148" t="s">
        <v>23</v>
      </c>
      <c r="D163" s="149" t="s">
        <v>25</v>
      </c>
      <c r="E163" s="150" t="s">
        <v>10</v>
      </c>
      <c r="F163" s="151">
        <v>1.7</v>
      </c>
      <c r="G163" s="164">
        <f>G160*F163</f>
        <v>263.01</v>
      </c>
      <c r="H163" s="238"/>
      <c r="I163" s="239"/>
      <c r="J163" s="153">
        <f t="shared" si="87"/>
        <v>0</v>
      </c>
      <c r="K163" s="153">
        <f t="shared" si="88"/>
        <v>0</v>
      </c>
      <c r="L163" s="153"/>
      <c r="M163" s="154">
        <f t="shared" si="89"/>
        <v>0</v>
      </c>
      <c r="O163" s="206"/>
    </row>
    <row r="164" spans="1:15" s="163" customFormat="1" ht="45" customHeight="1" x14ac:dyDescent="0.25">
      <c r="A164" s="257">
        <f t="shared" si="86"/>
        <v>154</v>
      </c>
      <c r="B164" s="139" t="s">
        <v>110</v>
      </c>
      <c r="C164" s="165" t="s">
        <v>18</v>
      </c>
      <c r="D164" s="141" t="s">
        <v>22</v>
      </c>
      <c r="E164" s="142" t="s">
        <v>8</v>
      </c>
      <c r="F164" s="143">
        <v>1</v>
      </c>
      <c r="G164" s="162">
        <f>15.69</f>
        <v>15.69</v>
      </c>
      <c r="H164" s="236"/>
      <c r="I164" s="237"/>
      <c r="J164" s="145">
        <f>I164</f>
        <v>0</v>
      </c>
      <c r="K164" s="145"/>
      <c r="L164" s="145">
        <f>G164*I164</f>
        <v>0</v>
      </c>
      <c r="M164" s="146">
        <f>L164</f>
        <v>0</v>
      </c>
      <c r="O164" s="206"/>
    </row>
    <row r="165" spans="1:15" s="155" customFormat="1" ht="25.5" x14ac:dyDescent="0.25">
      <c r="A165" s="258">
        <f t="shared" si="86"/>
        <v>155</v>
      </c>
      <c r="B165" s="147"/>
      <c r="C165" s="148" t="s">
        <v>58</v>
      </c>
      <c r="D165" s="149" t="s">
        <v>25</v>
      </c>
      <c r="E165" s="150" t="s">
        <v>8</v>
      </c>
      <c r="F165" s="151">
        <v>1.07</v>
      </c>
      <c r="G165" s="152">
        <f>G164*F165</f>
        <v>16.79</v>
      </c>
      <c r="H165" s="238"/>
      <c r="I165" s="239"/>
      <c r="J165" s="153">
        <f t="shared" ref="J165:J168" si="90">H165</f>
        <v>0</v>
      </c>
      <c r="K165" s="153">
        <f t="shared" ref="K165:K168" si="91">G165*H165</f>
        <v>0</v>
      </c>
      <c r="L165" s="153"/>
      <c r="M165" s="154">
        <f t="shared" ref="M165:M168" si="92">K165</f>
        <v>0</v>
      </c>
      <c r="O165" s="205"/>
    </row>
    <row r="166" spans="1:15" s="155" customFormat="1" ht="25.5" x14ac:dyDescent="0.25">
      <c r="A166" s="258">
        <f t="shared" si="86"/>
        <v>156</v>
      </c>
      <c r="B166" s="147"/>
      <c r="C166" s="148" t="s">
        <v>9</v>
      </c>
      <c r="D166" s="149" t="s">
        <v>25</v>
      </c>
      <c r="E166" s="150" t="s">
        <v>10</v>
      </c>
      <c r="F166" s="151">
        <v>12</v>
      </c>
      <c r="G166" s="152">
        <f>G164*0.3*F166</f>
        <v>56.48</v>
      </c>
      <c r="H166" s="238"/>
      <c r="I166" s="239"/>
      <c r="J166" s="153">
        <f t="shared" si="90"/>
        <v>0</v>
      </c>
      <c r="K166" s="153">
        <f t="shared" si="91"/>
        <v>0</v>
      </c>
      <c r="L166" s="153"/>
      <c r="M166" s="154">
        <f t="shared" si="92"/>
        <v>0</v>
      </c>
      <c r="O166" s="205"/>
    </row>
    <row r="167" spans="1:15" s="155" customFormat="1" ht="25.5" x14ac:dyDescent="0.25">
      <c r="A167" s="258">
        <f t="shared" si="86"/>
        <v>157</v>
      </c>
      <c r="B167" s="147"/>
      <c r="C167" s="148" t="s">
        <v>11</v>
      </c>
      <c r="D167" s="149" t="s">
        <v>25</v>
      </c>
      <c r="E167" s="150" t="s">
        <v>10</v>
      </c>
      <c r="F167" s="151">
        <v>0.25</v>
      </c>
      <c r="G167" s="152">
        <f>G164*0.3*F167</f>
        <v>1.18</v>
      </c>
      <c r="H167" s="238"/>
      <c r="I167" s="239"/>
      <c r="J167" s="153">
        <f t="shared" si="90"/>
        <v>0</v>
      </c>
      <c r="K167" s="153">
        <f t="shared" si="91"/>
        <v>0</v>
      </c>
      <c r="L167" s="153"/>
      <c r="M167" s="154">
        <f t="shared" si="92"/>
        <v>0</v>
      </c>
      <c r="O167" s="205"/>
    </row>
    <row r="168" spans="1:15" s="155" customFormat="1" ht="25.5" x14ac:dyDescent="0.25">
      <c r="A168" s="258">
        <f t="shared" si="86"/>
        <v>158</v>
      </c>
      <c r="B168" s="147"/>
      <c r="C168" s="148" t="s">
        <v>46</v>
      </c>
      <c r="D168" s="149" t="s">
        <v>25</v>
      </c>
      <c r="E168" s="150" t="s">
        <v>12</v>
      </c>
      <c r="F168" s="151">
        <v>1.1000000000000001</v>
      </c>
      <c r="G168" s="152">
        <f>7.73*F168</f>
        <v>8.5</v>
      </c>
      <c r="H168" s="238"/>
      <c r="I168" s="239"/>
      <c r="J168" s="153">
        <f t="shared" si="90"/>
        <v>0</v>
      </c>
      <c r="K168" s="153">
        <f t="shared" si="91"/>
        <v>0</v>
      </c>
      <c r="L168" s="153"/>
      <c r="M168" s="154">
        <f t="shared" si="92"/>
        <v>0</v>
      </c>
      <c r="O168" s="205"/>
    </row>
    <row r="169" spans="1:15" s="163" customFormat="1" ht="12.75" x14ac:dyDescent="0.25">
      <c r="A169" s="257">
        <f t="shared" si="86"/>
        <v>159</v>
      </c>
      <c r="B169" s="139" t="s">
        <v>110</v>
      </c>
      <c r="C169" s="156" t="s">
        <v>19</v>
      </c>
      <c r="D169" s="141" t="s">
        <v>22</v>
      </c>
      <c r="E169" s="142" t="s">
        <v>8</v>
      </c>
      <c r="F169" s="143">
        <v>1</v>
      </c>
      <c r="G169" s="162">
        <f>G160</f>
        <v>154.71</v>
      </c>
      <c r="H169" s="236"/>
      <c r="I169" s="237"/>
      <c r="J169" s="145">
        <f>I169</f>
        <v>0</v>
      </c>
      <c r="K169" s="145"/>
      <c r="L169" s="145">
        <f>G169*I169</f>
        <v>0</v>
      </c>
      <c r="M169" s="146">
        <f>L169</f>
        <v>0</v>
      </c>
      <c r="O169" s="206"/>
    </row>
    <row r="170" spans="1:15" s="155" customFormat="1" ht="25.5" x14ac:dyDescent="0.25">
      <c r="A170" s="258">
        <f t="shared" si="86"/>
        <v>160</v>
      </c>
      <c r="B170" s="147"/>
      <c r="C170" s="148" t="s">
        <v>13</v>
      </c>
      <c r="D170" s="149" t="s">
        <v>25</v>
      </c>
      <c r="E170" s="150" t="s">
        <v>14</v>
      </c>
      <c r="F170" s="151">
        <v>0.1</v>
      </c>
      <c r="G170" s="152">
        <f>G169*F170</f>
        <v>15.47</v>
      </c>
      <c r="H170" s="238"/>
      <c r="I170" s="239"/>
      <c r="J170" s="153">
        <f t="shared" ref="J170:J173" si="93">H170</f>
        <v>0</v>
      </c>
      <c r="K170" s="153">
        <f t="shared" ref="K170:K173" si="94">G170*H170</f>
        <v>0</v>
      </c>
      <c r="L170" s="153"/>
      <c r="M170" s="154">
        <f t="shared" ref="M170:M173" si="95">K170</f>
        <v>0</v>
      </c>
      <c r="O170" s="205"/>
    </row>
    <row r="171" spans="1:15" s="155" customFormat="1" ht="25.5" x14ac:dyDescent="0.25">
      <c r="A171" s="258">
        <f t="shared" si="86"/>
        <v>161</v>
      </c>
      <c r="B171" s="147"/>
      <c r="C171" s="148" t="s">
        <v>104</v>
      </c>
      <c r="D171" s="149" t="s">
        <v>25</v>
      </c>
      <c r="E171" s="150" t="s">
        <v>14</v>
      </c>
      <c r="F171" s="151">
        <v>0.3</v>
      </c>
      <c r="G171" s="152">
        <f>137.2*F171</f>
        <v>41.16</v>
      </c>
      <c r="H171" s="238"/>
      <c r="I171" s="239"/>
      <c r="J171" s="153">
        <f t="shared" si="93"/>
        <v>0</v>
      </c>
      <c r="K171" s="153">
        <f t="shared" si="94"/>
        <v>0</v>
      </c>
      <c r="L171" s="153"/>
      <c r="M171" s="154">
        <f t="shared" si="95"/>
        <v>0</v>
      </c>
      <c r="O171" s="205"/>
    </row>
    <row r="172" spans="1:15" s="155" customFormat="1" ht="25.5" x14ac:dyDescent="0.25">
      <c r="A172" s="258">
        <f t="shared" si="86"/>
        <v>162</v>
      </c>
      <c r="B172" s="147"/>
      <c r="C172" s="148" t="s">
        <v>105</v>
      </c>
      <c r="D172" s="149" t="s">
        <v>25</v>
      </c>
      <c r="E172" s="150" t="s">
        <v>14</v>
      </c>
      <c r="F172" s="151">
        <v>0.3</v>
      </c>
      <c r="G172" s="152">
        <f>13.02*F172</f>
        <v>3.91</v>
      </c>
      <c r="H172" s="238"/>
      <c r="I172" s="239"/>
      <c r="J172" s="153">
        <f t="shared" si="93"/>
        <v>0</v>
      </c>
      <c r="K172" s="153">
        <f t="shared" si="94"/>
        <v>0</v>
      </c>
      <c r="L172" s="153"/>
      <c r="M172" s="154">
        <f t="shared" si="95"/>
        <v>0</v>
      </c>
      <c r="O172" s="205"/>
    </row>
    <row r="173" spans="1:15" s="155" customFormat="1" ht="25.5" x14ac:dyDescent="0.25">
      <c r="A173" s="258">
        <f t="shared" si="86"/>
        <v>163</v>
      </c>
      <c r="B173" s="147"/>
      <c r="C173" s="148" t="s">
        <v>106</v>
      </c>
      <c r="D173" s="149" t="s">
        <v>25</v>
      </c>
      <c r="E173" s="150" t="s">
        <v>14</v>
      </c>
      <c r="F173" s="151">
        <v>0.3</v>
      </c>
      <c r="G173" s="152">
        <f>4.48*F173</f>
        <v>1.34</v>
      </c>
      <c r="H173" s="238"/>
      <c r="I173" s="239"/>
      <c r="J173" s="153">
        <f t="shared" si="93"/>
        <v>0</v>
      </c>
      <c r="K173" s="153">
        <f t="shared" si="94"/>
        <v>0</v>
      </c>
      <c r="L173" s="153"/>
      <c r="M173" s="154">
        <f t="shared" si="95"/>
        <v>0</v>
      </c>
      <c r="O173" s="205"/>
    </row>
    <row r="174" spans="1:15" s="163" customFormat="1" ht="21.75" customHeight="1" x14ac:dyDescent="0.25">
      <c r="A174" s="257">
        <f t="shared" si="86"/>
        <v>164</v>
      </c>
      <c r="B174" s="139" t="s">
        <v>110</v>
      </c>
      <c r="C174" s="156" t="s">
        <v>20</v>
      </c>
      <c r="D174" s="141" t="s">
        <v>22</v>
      </c>
      <c r="E174" s="142" t="s">
        <v>24</v>
      </c>
      <c r="F174" s="143">
        <v>1</v>
      </c>
      <c r="G174" s="162">
        <f>84.12</f>
        <v>84.12</v>
      </c>
      <c r="H174" s="236"/>
      <c r="I174" s="237"/>
      <c r="J174" s="145">
        <f>I174</f>
        <v>0</v>
      </c>
      <c r="K174" s="145"/>
      <c r="L174" s="145">
        <f>G174*I174</f>
        <v>0</v>
      </c>
      <c r="M174" s="146">
        <f>L174</f>
        <v>0</v>
      </c>
      <c r="O174" s="206"/>
    </row>
    <row r="175" spans="1:15" s="163" customFormat="1" ht="25.5" customHeight="1" x14ac:dyDescent="0.25">
      <c r="A175" s="258">
        <f t="shared" si="86"/>
        <v>165</v>
      </c>
      <c r="B175" s="147"/>
      <c r="C175" s="148" t="s">
        <v>32</v>
      </c>
      <c r="D175" s="149" t="s">
        <v>25</v>
      </c>
      <c r="E175" s="150" t="s">
        <v>10</v>
      </c>
      <c r="F175" s="151">
        <v>0.05</v>
      </c>
      <c r="G175" s="152">
        <f>G174*0.2*F175</f>
        <v>0.84</v>
      </c>
      <c r="H175" s="238"/>
      <c r="I175" s="239"/>
      <c r="J175" s="153">
        <f t="shared" ref="J175:J179" si="96">H175</f>
        <v>0</v>
      </c>
      <c r="K175" s="153">
        <f t="shared" ref="K175:K179" si="97">G175*H175</f>
        <v>0</v>
      </c>
      <c r="L175" s="153"/>
      <c r="M175" s="154">
        <f t="shared" ref="M175:M179" si="98">K175</f>
        <v>0</v>
      </c>
      <c r="O175" s="206"/>
    </row>
    <row r="176" spans="1:15" s="163" customFormat="1" ht="25.5" x14ac:dyDescent="0.25">
      <c r="A176" s="258">
        <f t="shared" si="86"/>
        <v>166</v>
      </c>
      <c r="B176" s="147"/>
      <c r="C176" s="148" t="s">
        <v>33</v>
      </c>
      <c r="D176" s="149" t="s">
        <v>25</v>
      </c>
      <c r="E176" s="150" t="s">
        <v>10</v>
      </c>
      <c r="F176" s="151">
        <v>10</v>
      </c>
      <c r="G176" s="152">
        <f>G174*0.2*F176</f>
        <v>168.24</v>
      </c>
      <c r="H176" s="238"/>
      <c r="I176" s="239"/>
      <c r="J176" s="153">
        <f t="shared" si="96"/>
        <v>0</v>
      </c>
      <c r="K176" s="153">
        <f t="shared" si="97"/>
        <v>0</v>
      </c>
      <c r="L176" s="153"/>
      <c r="M176" s="154">
        <f t="shared" si="98"/>
        <v>0</v>
      </c>
      <c r="O176" s="206"/>
    </row>
    <row r="177" spans="1:15" s="163" customFormat="1" ht="25.5" x14ac:dyDescent="0.25">
      <c r="A177" s="258">
        <f t="shared" si="86"/>
        <v>167</v>
      </c>
      <c r="B177" s="147"/>
      <c r="C177" s="148" t="s">
        <v>13</v>
      </c>
      <c r="D177" s="149" t="s">
        <v>25</v>
      </c>
      <c r="E177" s="150" t="s">
        <v>14</v>
      </c>
      <c r="F177" s="151">
        <v>0.1</v>
      </c>
      <c r="G177" s="152">
        <f>G174*0.2*F177</f>
        <v>1.68</v>
      </c>
      <c r="H177" s="238"/>
      <c r="I177" s="239"/>
      <c r="J177" s="153">
        <f t="shared" si="96"/>
        <v>0</v>
      </c>
      <c r="K177" s="153">
        <f t="shared" si="97"/>
        <v>0</v>
      </c>
      <c r="L177" s="153"/>
      <c r="M177" s="154">
        <f t="shared" si="98"/>
        <v>0</v>
      </c>
      <c r="O177" s="206"/>
    </row>
    <row r="178" spans="1:15" s="163" customFormat="1" ht="25.5" x14ac:dyDescent="0.25">
      <c r="A178" s="258">
        <f t="shared" si="86"/>
        <v>168</v>
      </c>
      <c r="B178" s="147"/>
      <c r="C178" s="148" t="s">
        <v>23</v>
      </c>
      <c r="D178" s="160" t="s">
        <v>25</v>
      </c>
      <c r="E178" s="150" t="s">
        <v>10</v>
      </c>
      <c r="F178" s="151">
        <v>1.7</v>
      </c>
      <c r="G178" s="152">
        <f>G174*0.2*F178</f>
        <v>28.6</v>
      </c>
      <c r="H178" s="238"/>
      <c r="I178" s="239"/>
      <c r="J178" s="153">
        <f t="shared" si="96"/>
        <v>0</v>
      </c>
      <c r="K178" s="153">
        <f t="shared" si="97"/>
        <v>0</v>
      </c>
      <c r="L178" s="153"/>
      <c r="M178" s="154">
        <f t="shared" si="98"/>
        <v>0</v>
      </c>
      <c r="O178" s="206"/>
    </row>
    <row r="179" spans="1:15" s="155" customFormat="1" ht="25.5" x14ac:dyDescent="0.25">
      <c r="A179" s="258">
        <f t="shared" si="86"/>
        <v>169</v>
      </c>
      <c r="B179" s="147"/>
      <c r="C179" s="148" t="s">
        <v>104</v>
      </c>
      <c r="D179" s="149" t="s">
        <v>25</v>
      </c>
      <c r="E179" s="150" t="s">
        <v>14</v>
      </c>
      <c r="F179" s="151">
        <v>0.3</v>
      </c>
      <c r="G179" s="152">
        <f>84.12*0.2*F179</f>
        <v>5.05</v>
      </c>
      <c r="H179" s="238"/>
      <c r="I179" s="242"/>
      <c r="J179" s="153">
        <f t="shared" si="96"/>
        <v>0</v>
      </c>
      <c r="K179" s="153">
        <f t="shared" si="97"/>
        <v>0</v>
      </c>
      <c r="L179" s="153"/>
      <c r="M179" s="154">
        <f t="shared" si="98"/>
        <v>0</v>
      </c>
      <c r="O179" s="205"/>
    </row>
    <row r="180" spans="1:15" s="138" customFormat="1" ht="25.5" customHeight="1" x14ac:dyDescent="0.25">
      <c r="A180" s="256">
        <f>ROW()-10</f>
        <v>170</v>
      </c>
      <c r="B180" s="128" t="s">
        <v>113</v>
      </c>
      <c r="C180" s="129" t="s">
        <v>112</v>
      </c>
      <c r="D180" s="130"/>
      <c r="E180" s="131"/>
      <c r="F180" s="132"/>
      <c r="G180" s="133"/>
      <c r="H180" s="240"/>
      <c r="I180" s="241"/>
      <c r="J180" s="136"/>
      <c r="K180" s="136"/>
      <c r="L180" s="136"/>
      <c r="M180" s="137"/>
      <c r="O180" s="204"/>
    </row>
    <row r="181" spans="1:15" s="163" customFormat="1" ht="12.75" x14ac:dyDescent="0.25">
      <c r="A181" s="257">
        <f t="shared" ref="A181:A192" si="99">ROW()-10</f>
        <v>171</v>
      </c>
      <c r="B181" s="139" t="s">
        <v>113</v>
      </c>
      <c r="C181" s="156" t="s">
        <v>16</v>
      </c>
      <c r="D181" s="141" t="s">
        <v>22</v>
      </c>
      <c r="E181" s="142" t="s">
        <v>8</v>
      </c>
      <c r="F181" s="143">
        <v>1</v>
      </c>
      <c r="G181" s="162">
        <v>52.4</v>
      </c>
      <c r="H181" s="236"/>
      <c r="I181" s="237"/>
      <c r="J181" s="145">
        <f>I181</f>
        <v>0</v>
      </c>
      <c r="K181" s="145"/>
      <c r="L181" s="145">
        <f>G181*I181</f>
        <v>0</v>
      </c>
      <c r="M181" s="146">
        <f>L181</f>
        <v>0</v>
      </c>
      <c r="O181" s="206"/>
    </row>
    <row r="182" spans="1:15" s="163" customFormat="1" ht="25.5" x14ac:dyDescent="0.25">
      <c r="A182" s="258">
        <f t="shared" si="99"/>
        <v>172</v>
      </c>
      <c r="B182" s="158" t="s">
        <v>59</v>
      </c>
      <c r="C182" s="148" t="s">
        <v>58</v>
      </c>
      <c r="D182" s="149" t="s">
        <v>25</v>
      </c>
      <c r="E182" s="150" t="s">
        <v>8</v>
      </c>
      <c r="F182" s="151">
        <v>1.07</v>
      </c>
      <c r="G182" s="164">
        <f>G181*F182</f>
        <v>56.07</v>
      </c>
      <c r="H182" s="238"/>
      <c r="I182" s="239"/>
      <c r="J182" s="153">
        <f t="shared" ref="J182:J184" si="100">H182</f>
        <v>0</v>
      </c>
      <c r="K182" s="153">
        <f t="shared" ref="K182:K184" si="101">G182*H182</f>
        <v>0</v>
      </c>
      <c r="L182" s="153"/>
      <c r="M182" s="154">
        <f t="shared" ref="M182:M184" si="102">K182</f>
        <v>0</v>
      </c>
      <c r="O182" s="206"/>
    </row>
    <row r="183" spans="1:15" s="163" customFormat="1" ht="25.5" x14ac:dyDescent="0.25">
      <c r="A183" s="258">
        <f t="shared" si="99"/>
        <v>173</v>
      </c>
      <c r="B183" s="147"/>
      <c r="C183" s="148" t="s">
        <v>9</v>
      </c>
      <c r="D183" s="149" t="s">
        <v>25</v>
      </c>
      <c r="E183" s="150" t="s">
        <v>10</v>
      </c>
      <c r="F183" s="151">
        <v>12</v>
      </c>
      <c r="G183" s="164">
        <f>G181*F183</f>
        <v>628.79999999999995</v>
      </c>
      <c r="H183" s="238"/>
      <c r="I183" s="239"/>
      <c r="J183" s="153">
        <f t="shared" si="100"/>
        <v>0</v>
      </c>
      <c r="K183" s="153">
        <f t="shared" si="101"/>
        <v>0</v>
      </c>
      <c r="L183" s="153"/>
      <c r="M183" s="154">
        <f t="shared" si="102"/>
        <v>0</v>
      </c>
      <c r="O183" s="206"/>
    </row>
    <row r="184" spans="1:15" s="163" customFormat="1" ht="25.5" x14ac:dyDescent="0.25">
      <c r="A184" s="258">
        <f t="shared" si="99"/>
        <v>174</v>
      </c>
      <c r="B184" s="147"/>
      <c r="C184" s="148" t="s">
        <v>11</v>
      </c>
      <c r="D184" s="149" t="s">
        <v>25</v>
      </c>
      <c r="E184" s="150" t="s">
        <v>10</v>
      </c>
      <c r="F184" s="151">
        <v>0.25</v>
      </c>
      <c r="G184" s="164">
        <f>G181*F184</f>
        <v>13.1</v>
      </c>
      <c r="H184" s="238"/>
      <c r="I184" s="239"/>
      <c r="J184" s="153">
        <f t="shared" si="100"/>
        <v>0</v>
      </c>
      <c r="K184" s="153">
        <f t="shared" si="101"/>
        <v>0</v>
      </c>
      <c r="L184" s="153"/>
      <c r="M184" s="154">
        <f t="shared" si="102"/>
        <v>0</v>
      </c>
      <c r="O184" s="206"/>
    </row>
    <row r="185" spans="1:15" s="163" customFormat="1" ht="12.75" x14ac:dyDescent="0.25">
      <c r="A185" s="257">
        <f t="shared" ref="A185:A195" si="103">ROW()-10</f>
        <v>175</v>
      </c>
      <c r="B185" s="139" t="s">
        <v>113</v>
      </c>
      <c r="C185" s="156" t="s">
        <v>62</v>
      </c>
      <c r="D185" s="141" t="s">
        <v>22</v>
      </c>
      <c r="E185" s="142" t="s">
        <v>8</v>
      </c>
      <c r="F185" s="143">
        <v>1</v>
      </c>
      <c r="G185" s="162">
        <v>6.2</v>
      </c>
      <c r="H185" s="236"/>
      <c r="I185" s="237"/>
      <c r="J185" s="145">
        <f>I185</f>
        <v>0</v>
      </c>
      <c r="K185" s="145"/>
      <c r="L185" s="145">
        <f>G185*I185</f>
        <v>0</v>
      </c>
      <c r="M185" s="146">
        <f>L185</f>
        <v>0</v>
      </c>
      <c r="O185" s="206"/>
    </row>
    <row r="186" spans="1:15" s="163" customFormat="1" ht="25.5" x14ac:dyDescent="0.25">
      <c r="A186" s="258">
        <f t="shared" si="103"/>
        <v>176</v>
      </c>
      <c r="B186" s="158" t="s">
        <v>64</v>
      </c>
      <c r="C186" s="148" t="s">
        <v>67</v>
      </c>
      <c r="D186" s="149" t="s">
        <v>25</v>
      </c>
      <c r="E186" s="150" t="s">
        <v>8</v>
      </c>
      <c r="F186" s="151">
        <v>1.07</v>
      </c>
      <c r="G186" s="164">
        <f>G185*F186</f>
        <v>6.63</v>
      </c>
      <c r="H186" s="238"/>
      <c r="I186" s="239"/>
      <c r="J186" s="153">
        <f t="shared" ref="J186:J188" si="104">H186</f>
        <v>0</v>
      </c>
      <c r="K186" s="153">
        <f t="shared" ref="K186:K188" si="105">G186*H186</f>
        <v>0</v>
      </c>
      <c r="L186" s="153"/>
      <c r="M186" s="154">
        <f t="shared" ref="M186:M188" si="106">K186</f>
        <v>0</v>
      </c>
      <c r="O186" s="206"/>
    </row>
    <row r="187" spans="1:15" s="163" customFormat="1" ht="25.5" x14ac:dyDescent="0.25">
      <c r="A187" s="258">
        <f t="shared" si="103"/>
        <v>177</v>
      </c>
      <c r="B187" s="147"/>
      <c r="C187" s="148" t="s">
        <v>9</v>
      </c>
      <c r="D187" s="149" t="s">
        <v>25</v>
      </c>
      <c r="E187" s="150" t="s">
        <v>10</v>
      </c>
      <c r="F187" s="151">
        <v>12</v>
      </c>
      <c r="G187" s="164">
        <f>G185*F187</f>
        <v>74.400000000000006</v>
      </c>
      <c r="H187" s="238"/>
      <c r="I187" s="239"/>
      <c r="J187" s="153">
        <f t="shared" si="104"/>
        <v>0</v>
      </c>
      <c r="K187" s="153">
        <f t="shared" si="105"/>
        <v>0</v>
      </c>
      <c r="L187" s="153"/>
      <c r="M187" s="154">
        <f t="shared" si="106"/>
        <v>0</v>
      </c>
      <c r="O187" s="206"/>
    </row>
    <row r="188" spans="1:15" s="163" customFormat="1" ht="25.5" x14ac:dyDescent="0.25">
      <c r="A188" s="258">
        <f t="shared" si="103"/>
        <v>178</v>
      </c>
      <c r="B188" s="147"/>
      <c r="C188" s="148" t="s">
        <v>11</v>
      </c>
      <c r="D188" s="149" t="s">
        <v>25</v>
      </c>
      <c r="E188" s="150" t="s">
        <v>10</v>
      </c>
      <c r="F188" s="151">
        <v>0.25</v>
      </c>
      <c r="G188" s="164">
        <f>G185*F188</f>
        <v>1.55</v>
      </c>
      <c r="H188" s="238"/>
      <c r="I188" s="239"/>
      <c r="J188" s="153">
        <f t="shared" si="104"/>
        <v>0</v>
      </c>
      <c r="K188" s="153">
        <f t="shared" si="105"/>
        <v>0</v>
      </c>
      <c r="L188" s="153"/>
      <c r="M188" s="154">
        <f t="shared" si="106"/>
        <v>0</v>
      </c>
      <c r="O188" s="206"/>
    </row>
    <row r="189" spans="1:15" s="163" customFormat="1" ht="25.5" x14ac:dyDescent="0.25">
      <c r="A189" s="257">
        <f t="shared" si="99"/>
        <v>179</v>
      </c>
      <c r="B189" s="139" t="s">
        <v>113</v>
      </c>
      <c r="C189" s="156" t="s">
        <v>17</v>
      </c>
      <c r="D189" s="141" t="s">
        <v>22</v>
      </c>
      <c r="E189" s="142" t="s">
        <v>12</v>
      </c>
      <c r="F189" s="143">
        <v>1</v>
      </c>
      <c r="G189" s="162">
        <f>48.2+6.2</f>
        <v>54.4</v>
      </c>
      <c r="H189" s="236"/>
      <c r="I189" s="237"/>
      <c r="J189" s="145">
        <f>I189</f>
        <v>0</v>
      </c>
      <c r="K189" s="145"/>
      <c r="L189" s="145">
        <f>G189*I189</f>
        <v>0</v>
      </c>
      <c r="M189" s="146">
        <f>L189</f>
        <v>0</v>
      </c>
      <c r="O189" s="206"/>
    </row>
    <row r="190" spans="1:15" s="163" customFormat="1" ht="25.5" x14ac:dyDescent="0.25">
      <c r="A190" s="258">
        <f t="shared" si="99"/>
        <v>180</v>
      </c>
      <c r="B190" s="147" t="s">
        <v>65</v>
      </c>
      <c r="C190" s="148" t="s">
        <v>66</v>
      </c>
      <c r="D190" s="149" t="s">
        <v>25</v>
      </c>
      <c r="E190" s="150" t="s">
        <v>8</v>
      </c>
      <c r="F190" s="151">
        <v>1.07</v>
      </c>
      <c r="G190" s="164">
        <f>G189*0.1*F190</f>
        <v>5.82</v>
      </c>
      <c r="H190" s="238"/>
      <c r="I190" s="239"/>
      <c r="J190" s="153">
        <f t="shared" ref="J190:J192" si="107">H190</f>
        <v>0</v>
      </c>
      <c r="K190" s="153">
        <f t="shared" ref="K190:K192" si="108">G190*H190</f>
        <v>0</v>
      </c>
      <c r="L190" s="153"/>
      <c r="M190" s="154">
        <f t="shared" ref="M190:M192" si="109">K190</f>
        <v>0</v>
      </c>
      <c r="O190" s="206"/>
    </row>
    <row r="191" spans="1:15" s="163" customFormat="1" ht="25.5" x14ac:dyDescent="0.25">
      <c r="A191" s="258">
        <f t="shared" si="99"/>
        <v>181</v>
      </c>
      <c r="B191" s="147"/>
      <c r="C191" s="148" t="s">
        <v>9</v>
      </c>
      <c r="D191" s="149" t="s">
        <v>25</v>
      </c>
      <c r="E191" s="150" t="s">
        <v>10</v>
      </c>
      <c r="F191" s="151">
        <v>12</v>
      </c>
      <c r="G191" s="164">
        <f>G189*0.1*F191</f>
        <v>65.28</v>
      </c>
      <c r="H191" s="238"/>
      <c r="I191" s="239"/>
      <c r="J191" s="153">
        <f t="shared" si="107"/>
        <v>0</v>
      </c>
      <c r="K191" s="153">
        <f t="shared" si="108"/>
        <v>0</v>
      </c>
      <c r="L191" s="153"/>
      <c r="M191" s="154">
        <f t="shared" si="109"/>
        <v>0</v>
      </c>
      <c r="O191" s="206"/>
    </row>
    <row r="192" spans="1:15" s="163" customFormat="1" ht="25.5" x14ac:dyDescent="0.25">
      <c r="A192" s="258">
        <f t="shared" si="99"/>
        <v>182</v>
      </c>
      <c r="B192" s="147"/>
      <c r="C192" s="148" t="s">
        <v>11</v>
      </c>
      <c r="D192" s="149" t="s">
        <v>25</v>
      </c>
      <c r="E192" s="150" t="s">
        <v>10</v>
      </c>
      <c r="F192" s="151">
        <v>0.25</v>
      </c>
      <c r="G192" s="164">
        <f>G189*0.1*F192</f>
        <v>1.36</v>
      </c>
      <c r="H192" s="238"/>
      <c r="I192" s="239"/>
      <c r="J192" s="153">
        <f t="shared" si="107"/>
        <v>0</v>
      </c>
      <c r="K192" s="153">
        <f t="shared" si="108"/>
        <v>0</v>
      </c>
      <c r="L192" s="153"/>
      <c r="M192" s="154">
        <f t="shared" si="109"/>
        <v>0</v>
      </c>
      <c r="O192" s="206"/>
    </row>
    <row r="193" spans="1:15" s="163" customFormat="1" ht="12.75" x14ac:dyDescent="0.25">
      <c r="A193" s="257">
        <f t="shared" si="103"/>
        <v>183</v>
      </c>
      <c r="B193" s="139" t="s">
        <v>113</v>
      </c>
      <c r="C193" s="156" t="s">
        <v>76</v>
      </c>
      <c r="D193" s="141" t="s">
        <v>22</v>
      </c>
      <c r="E193" s="142" t="s">
        <v>12</v>
      </c>
      <c r="F193" s="143">
        <v>1</v>
      </c>
      <c r="G193" s="162">
        <v>3.3</v>
      </c>
      <c r="H193" s="236"/>
      <c r="I193" s="237"/>
      <c r="J193" s="145">
        <f>I193</f>
        <v>0</v>
      </c>
      <c r="K193" s="145"/>
      <c r="L193" s="145">
        <f>G193*I193</f>
        <v>0</v>
      </c>
      <c r="M193" s="146">
        <f>L193</f>
        <v>0</v>
      </c>
      <c r="O193" s="206"/>
    </row>
    <row r="194" spans="1:15" s="163" customFormat="1" ht="25.5" x14ac:dyDescent="0.25">
      <c r="A194" s="258">
        <f t="shared" si="103"/>
        <v>184</v>
      </c>
      <c r="B194" s="147"/>
      <c r="C194" s="148" t="s">
        <v>130</v>
      </c>
      <c r="D194" s="149" t="s">
        <v>25</v>
      </c>
      <c r="E194" s="150" t="s">
        <v>14</v>
      </c>
      <c r="F194" s="151">
        <v>0.3</v>
      </c>
      <c r="G194" s="164">
        <f>G193*0.1*F194</f>
        <v>0.1</v>
      </c>
      <c r="H194" s="238"/>
      <c r="I194" s="239"/>
      <c r="J194" s="153">
        <f t="shared" ref="J194:J195" si="110">H194</f>
        <v>0</v>
      </c>
      <c r="K194" s="153">
        <f t="shared" ref="K194:K195" si="111">G194*H194</f>
        <v>0</v>
      </c>
      <c r="L194" s="153"/>
      <c r="M194" s="154">
        <f t="shared" ref="M194:M195" si="112">K194</f>
        <v>0</v>
      </c>
      <c r="O194" s="206"/>
    </row>
    <row r="195" spans="1:15" s="163" customFormat="1" ht="26.25" thickBot="1" x14ac:dyDescent="0.3">
      <c r="A195" s="259">
        <f t="shared" si="103"/>
        <v>185</v>
      </c>
      <c r="B195" s="169"/>
      <c r="C195" s="170" t="s">
        <v>13</v>
      </c>
      <c r="D195" s="171" t="s">
        <v>25</v>
      </c>
      <c r="E195" s="172" t="s">
        <v>14</v>
      </c>
      <c r="F195" s="173">
        <v>0.1</v>
      </c>
      <c r="G195" s="174">
        <f>G193*0.1*F195</f>
        <v>0.03</v>
      </c>
      <c r="H195" s="247"/>
      <c r="I195" s="248"/>
      <c r="J195" s="153">
        <f t="shared" si="110"/>
        <v>0</v>
      </c>
      <c r="K195" s="153">
        <f t="shared" si="111"/>
        <v>0</v>
      </c>
      <c r="L195" s="153"/>
      <c r="M195" s="154">
        <f t="shared" si="112"/>
        <v>0</v>
      </c>
      <c r="O195" s="206"/>
    </row>
    <row r="196" spans="1:15" s="178" customFormat="1" ht="14.25" x14ac:dyDescent="0.25">
      <c r="A196" s="175"/>
      <c r="B196" s="176"/>
      <c r="C196" s="177" t="s">
        <v>135</v>
      </c>
      <c r="D196" s="176"/>
      <c r="E196" s="176"/>
      <c r="F196" s="176"/>
      <c r="G196" s="176"/>
      <c r="H196" s="176"/>
      <c r="I196" s="176"/>
      <c r="J196" s="176"/>
      <c r="K196" s="59">
        <f>SUM(K11:K195)</f>
        <v>0</v>
      </c>
      <c r="L196" s="59">
        <f>SUM(L11:L195)</f>
        <v>0</v>
      </c>
      <c r="M196" s="60">
        <f>SUM(M11:M195)</f>
        <v>0</v>
      </c>
      <c r="O196" s="208"/>
    </row>
    <row r="197" spans="1:15" ht="15.75" thickBot="1" x14ac:dyDescent="0.3">
      <c r="A197" s="179"/>
      <c r="B197" s="180"/>
      <c r="C197" s="181" t="s">
        <v>136</v>
      </c>
      <c r="D197" s="182"/>
      <c r="E197" s="180"/>
      <c r="F197" s="180"/>
      <c r="G197" s="180"/>
      <c r="H197" s="180"/>
      <c r="I197" s="180"/>
      <c r="J197" s="183"/>
      <c r="K197" s="65"/>
      <c r="L197" s="65"/>
      <c r="M197" s="72">
        <f>M196*0.22/1.22</f>
        <v>0</v>
      </c>
      <c r="O197" s="209"/>
    </row>
    <row r="198" spans="1:15" x14ac:dyDescent="0.25">
      <c r="A198" s="184" t="s">
        <v>142</v>
      </c>
      <c r="B198" s="185"/>
      <c r="C198" s="185"/>
      <c r="D198" s="185"/>
      <c r="E198" s="185"/>
      <c r="F198" s="185"/>
      <c r="G198" s="186"/>
      <c r="H198" s="187"/>
      <c r="I198" s="187"/>
      <c r="J198" s="188"/>
      <c r="K198" s="188"/>
      <c r="L198" s="188"/>
      <c r="M198" s="189"/>
      <c r="O198" s="209"/>
    </row>
    <row r="199" spans="1:15" x14ac:dyDescent="0.2">
      <c r="A199" s="260">
        <v>1</v>
      </c>
      <c r="B199" s="211"/>
      <c r="C199" s="212" t="s">
        <v>143</v>
      </c>
      <c r="D199" s="213"/>
      <c r="E199" s="214"/>
      <c r="F199" s="214"/>
      <c r="G199" s="215"/>
      <c r="H199" s="216"/>
      <c r="I199" s="217"/>
      <c r="J199" s="218"/>
      <c r="K199" s="218"/>
      <c r="L199" s="218"/>
      <c r="M199" s="219"/>
      <c r="O199" s="209"/>
    </row>
    <row r="200" spans="1:15" x14ac:dyDescent="0.2">
      <c r="A200" s="261">
        <v>2</v>
      </c>
      <c r="B200" s="220"/>
      <c r="C200" s="221" t="s">
        <v>144</v>
      </c>
      <c r="D200" s="222"/>
      <c r="E200" s="223"/>
      <c r="F200" s="223"/>
      <c r="G200" s="224"/>
      <c r="H200" s="216"/>
      <c r="I200" s="217"/>
      <c r="J200" s="218"/>
      <c r="K200" s="218"/>
      <c r="L200" s="218"/>
      <c r="M200" s="219"/>
      <c r="O200" s="209"/>
    </row>
    <row r="201" spans="1:15" x14ac:dyDescent="0.2">
      <c r="A201" s="261">
        <v>3</v>
      </c>
      <c r="B201" s="211"/>
      <c r="C201" s="221" t="s">
        <v>145</v>
      </c>
      <c r="D201" s="222"/>
      <c r="E201" s="223"/>
      <c r="F201" s="223"/>
      <c r="G201" s="224"/>
      <c r="H201" s="216"/>
      <c r="I201" s="217"/>
      <c r="J201" s="218"/>
      <c r="K201" s="218"/>
      <c r="L201" s="218"/>
      <c r="M201" s="219"/>
      <c r="O201" s="209"/>
    </row>
    <row r="202" spans="1:15" ht="25.5" x14ac:dyDescent="0.2">
      <c r="A202" s="261">
        <v>4</v>
      </c>
      <c r="B202" s="220"/>
      <c r="C202" s="221" t="s">
        <v>146</v>
      </c>
      <c r="D202" s="222"/>
      <c r="E202" s="223"/>
      <c r="F202" s="223"/>
      <c r="G202" s="224"/>
      <c r="H202" s="216"/>
      <c r="I202" s="217"/>
      <c r="J202" s="218"/>
      <c r="K202" s="218"/>
      <c r="L202" s="218"/>
      <c r="M202" s="219"/>
      <c r="O202" s="209"/>
    </row>
    <row r="203" spans="1:15" ht="25.5" x14ac:dyDescent="0.2">
      <c r="A203" s="261">
        <v>5</v>
      </c>
      <c r="B203" s="211"/>
      <c r="C203" s="221" t="s">
        <v>147</v>
      </c>
      <c r="D203" s="222"/>
      <c r="E203" s="223"/>
      <c r="F203" s="223"/>
      <c r="G203" s="224"/>
      <c r="H203" s="216"/>
      <c r="I203" s="217"/>
      <c r="J203" s="218"/>
      <c r="K203" s="218"/>
      <c r="L203" s="218"/>
      <c r="M203" s="219"/>
      <c r="O203" s="209"/>
    </row>
    <row r="204" spans="1:15" x14ac:dyDescent="0.2">
      <c r="A204" s="261">
        <v>6</v>
      </c>
      <c r="B204" s="220"/>
      <c r="C204" s="221" t="s">
        <v>148</v>
      </c>
      <c r="D204" s="222"/>
      <c r="E204" s="223"/>
      <c r="F204" s="223"/>
      <c r="G204" s="224"/>
      <c r="H204" s="216"/>
      <c r="I204" s="217"/>
      <c r="J204" s="218"/>
      <c r="K204" s="218"/>
      <c r="L204" s="218"/>
      <c r="M204" s="219"/>
      <c r="O204" s="209"/>
    </row>
    <row r="205" spans="1:15" x14ac:dyDescent="0.2">
      <c r="A205" s="261">
        <v>7</v>
      </c>
      <c r="B205" s="211"/>
      <c r="C205" s="221" t="s">
        <v>149</v>
      </c>
      <c r="D205" s="222"/>
      <c r="E205" s="223"/>
      <c r="F205" s="223"/>
      <c r="G205" s="224"/>
      <c r="H205" s="216"/>
      <c r="I205" s="217"/>
      <c r="J205" s="218"/>
      <c r="K205" s="218"/>
      <c r="L205" s="218"/>
      <c r="M205" s="219"/>
      <c r="O205" s="209"/>
    </row>
    <row r="206" spans="1:15" x14ac:dyDescent="0.2">
      <c r="A206" s="261">
        <v>8</v>
      </c>
      <c r="B206" s="220"/>
      <c r="C206" s="221" t="s">
        <v>150</v>
      </c>
      <c r="D206" s="222"/>
      <c r="E206" s="223"/>
      <c r="F206" s="223"/>
      <c r="G206" s="224"/>
      <c r="H206" s="216"/>
      <c r="I206" s="217"/>
      <c r="J206" s="218"/>
      <c r="K206" s="218"/>
      <c r="L206" s="218"/>
      <c r="M206" s="219"/>
      <c r="O206" s="209"/>
    </row>
    <row r="207" spans="1:15" x14ac:dyDescent="0.2">
      <c r="A207" s="261">
        <v>9</v>
      </c>
      <c r="B207" s="211"/>
      <c r="C207" s="221" t="s">
        <v>151</v>
      </c>
      <c r="D207" s="222"/>
      <c r="E207" s="223"/>
      <c r="F207" s="223"/>
      <c r="G207" s="224"/>
      <c r="H207" s="216"/>
      <c r="I207" s="217"/>
      <c r="J207" s="218"/>
      <c r="K207" s="218"/>
      <c r="L207" s="218"/>
      <c r="M207" s="219"/>
      <c r="O207" s="209"/>
    </row>
    <row r="208" spans="1:15" ht="25.5" x14ac:dyDescent="0.2">
      <c r="A208" s="261">
        <v>10</v>
      </c>
      <c r="B208" s="220"/>
      <c r="C208" s="225" t="s">
        <v>152</v>
      </c>
      <c r="D208" s="226"/>
      <c r="E208" s="223"/>
      <c r="F208" s="223"/>
      <c r="G208" s="224"/>
      <c r="H208" s="216"/>
      <c r="I208" s="217"/>
      <c r="J208" s="218"/>
      <c r="K208" s="218"/>
      <c r="L208" s="218"/>
      <c r="M208" s="219"/>
      <c r="O208" s="209"/>
    </row>
    <row r="209" spans="1:15" ht="15.75" thickBot="1" x14ac:dyDescent="0.25">
      <c r="A209" s="262">
        <v>11</v>
      </c>
      <c r="B209" s="227"/>
      <c r="C209" s="228" t="s">
        <v>153</v>
      </c>
      <c r="D209" s="229"/>
      <c r="E209" s="230"/>
      <c r="F209" s="230"/>
      <c r="G209" s="231"/>
      <c r="H209" s="232"/>
      <c r="I209" s="233"/>
      <c r="J209" s="234"/>
      <c r="K209" s="234"/>
      <c r="L209" s="234"/>
      <c r="M209" s="235"/>
      <c r="O209" s="210"/>
    </row>
    <row r="211" spans="1:15" ht="81.75" customHeight="1" x14ac:dyDescent="0.25">
      <c r="A211" s="194" t="s">
        <v>156</v>
      </c>
      <c r="B211" s="195"/>
      <c r="C211" s="195"/>
      <c r="D211" s="195"/>
      <c r="E211" s="195"/>
      <c r="F211" s="195"/>
      <c r="G211" s="195"/>
      <c r="H211" s="195"/>
      <c r="I211" s="195"/>
      <c r="J211" s="195"/>
      <c r="K211" s="195"/>
      <c r="L211" s="195"/>
      <c r="M211" s="195"/>
    </row>
    <row r="212" spans="1:15" ht="62.25" customHeight="1" x14ac:dyDescent="0.2">
      <c r="A212" s="76"/>
      <c r="B212" s="76"/>
      <c r="C212" s="76" t="s">
        <v>154</v>
      </c>
      <c r="D212" s="76"/>
      <c r="E212" s="76"/>
      <c r="F212" s="76"/>
      <c r="G212" s="76"/>
      <c r="H212" s="76"/>
      <c r="I212" s="196"/>
      <c r="J212" s="196"/>
      <c r="K212" s="197"/>
      <c r="L212" s="196"/>
      <c r="M212" s="198"/>
    </row>
  </sheetData>
  <sheetProtection algorithmName="SHA-512" hashValue="wKWX8CyxqAnkbSGd3ruxnTkRAJrbA170ldp0Yyv6pVkP0AhmxEx2wWfKoDrq5hOh6G3oWZVJtjUJxBnsDDcLWw==" saltValue="32QL25zlxlmt1ARo8n0Nyw==" spinCount="100000" sheet="1" autoFilter="0"/>
  <autoFilter ref="A10:M209" xr:uid="{00000000-0001-0000-0000-000000000000}"/>
  <mergeCells count="18">
    <mergeCell ref="A4:M4"/>
    <mergeCell ref="A5:M5"/>
    <mergeCell ref="A6:M6"/>
    <mergeCell ref="M8:M9"/>
    <mergeCell ref="F8:F9"/>
    <mergeCell ref="E8:E9"/>
    <mergeCell ref="D8:D9"/>
    <mergeCell ref="C8:C9"/>
    <mergeCell ref="B8:B9"/>
    <mergeCell ref="H8:I8"/>
    <mergeCell ref="J8:J9"/>
    <mergeCell ref="K8:L8"/>
    <mergeCell ref="G8:G9"/>
    <mergeCell ref="A8:A9"/>
    <mergeCell ref="A211:M211"/>
    <mergeCell ref="O8:O10"/>
    <mergeCell ref="P144:P146"/>
    <mergeCell ref="N144:N146"/>
  </mergeCells>
  <phoneticPr fontId="6" type="noConversion"/>
  <pageMargins left="0.7" right="0.7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86700-CAB8-40BA-879F-FC79E7EAF166}">
  <dimension ref="A1:O211"/>
  <sheetViews>
    <sheetView view="pageBreakPreview" zoomScale="90" zoomScaleNormal="85" zoomScaleSheetLayoutView="90" workbookViewId="0">
      <selection activeCell="H14" sqref="H14:I14"/>
    </sheetView>
  </sheetViews>
  <sheetFormatPr defaultColWidth="9.140625" defaultRowHeight="15" x14ac:dyDescent="0.25"/>
  <cols>
    <col min="1" max="1" width="9.5703125" style="17" customWidth="1"/>
    <col min="2" max="2" width="16.42578125" style="16" customWidth="1"/>
    <col min="3" max="3" width="42.85546875" style="11" customWidth="1"/>
    <col min="4" max="4" width="17" style="10" customWidth="1"/>
    <col min="5" max="5" width="9.7109375" style="1" customWidth="1"/>
    <col min="6" max="6" width="9.5703125" style="1" customWidth="1"/>
    <col min="7" max="7" width="10.7109375" style="1" customWidth="1"/>
    <col min="8" max="9" width="13.7109375" style="1" customWidth="1"/>
    <col min="10" max="10" width="14.7109375" style="12" customWidth="1"/>
    <col min="11" max="11" width="13.28515625" style="1" customWidth="1"/>
    <col min="12" max="12" width="14.7109375" style="1" customWidth="1"/>
    <col min="13" max="13" width="17.28515625" style="1" customWidth="1"/>
    <col min="14" max="14" width="2.7109375" style="19" customWidth="1"/>
    <col min="15" max="15" width="62.140625" style="350" customWidth="1"/>
    <col min="16" max="16" width="2.7109375" style="19" customWidth="1"/>
    <col min="17" max="16384" width="9.140625" style="19"/>
  </cols>
  <sheetData>
    <row r="1" spans="1:15" s="265" customFormat="1" ht="15.75" x14ac:dyDescent="0.2">
      <c r="A1" s="263"/>
      <c r="B1" s="263"/>
      <c r="C1" s="264"/>
      <c r="D1" s="264"/>
      <c r="E1" s="264"/>
      <c r="F1" s="264"/>
      <c r="G1" s="264"/>
      <c r="H1" s="264"/>
      <c r="J1" s="266"/>
      <c r="K1" s="267"/>
      <c r="L1" s="267"/>
      <c r="M1" s="268" t="s">
        <v>55</v>
      </c>
      <c r="O1" s="348"/>
    </row>
    <row r="2" spans="1:15" s="265" customFormat="1" ht="15.75" customHeight="1" x14ac:dyDescent="0.2">
      <c r="A2" s="263"/>
      <c r="B2" s="263"/>
      <c r="C2" s="264"/>
      <c r="D2" s="264"/>
      <c r="E2" s="264"/>
      <c r="F2" s="264"/>
      <c r="G2" s="264"/>
      <c r="H2" s="264"/>
      <c r="J2" s="266"/>
      <c r="K2" s="267"/>
      <c r="L2" s="267"/>
      <c r="M2" s="268" t="s">
        <v>56</v>
      </c>
      <c r="O2" s="348"/>
    </row>
    <row r="3" spans="1:15" s="265" customFormat="1" ht="15.75" customHeight="1" x14ac:dyDescent="0.2">
      <c r="A3" s="263"/>
      <c r="B3" s="263"/>
      <c r="C3" s="264"/>
      <c r="D3" s="264"/>
      <c r="E3" s="264"/>
      <c r="F3" s="264"/>
      <c r="G3" s="264"/>
      <c r="H3" s="264"/>
      <c r="J3" s="266"/>
      <c r="K3" s="267"/>
      <c r="L3" s="267"/>
      <c r="M3" s="268"/>
      <c r="O3" s="348"/>
    </row>
    <row r="4" spans="1:15" s="271" customFormat="1" ht="20.25" x14ac:dyDescent="0.25">
      <c r="A4" s="269" t="s">
        <v>57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70"/>
      <c r="O4" s="349"/>
    </row>
    <row r="5" spans="1:15" ht="18.75" customHeight="1" x14ac:dyDescent="0.25">
      <c r="A5" s="74" t="s">
        <v>54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1:15" ht="15.75" x14ac:dyDescent="0.25">
      <c r="A6" s="75" t="s">
        <v>77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</row>
    <row r="7" spans="1:15" ht="16.5" thickBot="1" x14ac:dyDescent="0.3">
      <c r="A7" s="13"/>
      <c r="B7" s="1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</row>
    <row r="8" spans="1:15" ht="15" customHeight="1" x14ac:dyDescent="0.25">
      <c r="A8" s="272" t="s">
        <v>137</v>
      </c>
      <c r="B8" s="273" t="s">
        <v>0</v>
      </c>
      <c r="C8" s="274" t="s">
        <v>4</v>
      </c>
      <c r="D8" s="274" t="s">
        <v>1</v>
      </c>
      <c r="E8" s="274" t="s">
        <v>5</v>
      </c>
      <c r="F8" s="275" t="s">
        <v>6</v>
      </c>
      <c r="G8" s="276" t="s">
        <v>3</v>
      </c>
      <c r="H8" s="277" t="s">
        <v>138</v>
      </c>
      <c r="I8" s="278"/>
      <c r="J8" s="278" t="s">
        <v>139</v>
      </c>
      <c r="K8" s="278" t="s">
        <v>140</v>
      </c>
      <c r="L8" s="278"/>
      <c r="M8" s="279" t="s">
        <v>141</v>
      </c>
      <c r="O8" s="351" t="s">
        <v>155</v>
      </c>
    </row>
    <row r="9" spans="1:15" ht="36.75" customHeight="1" thickBot="1" x14ac:dyDescent="0.3">
      <c r="A9" s="280"/>
      <c r="B9" s="281"/>
      <c r="C9" s="282"/>
      <c r="D9" s="282"/>
      <c r="E9" s="282"/>
      <c r="F9" s="283"/>
      <c r="G9" s="284"/>
      <c r="H9" s="285" t="s">
        <v>2</v>
      </c>
      <c r="I9" s="286" t="s">
        <v>7</v>
      </c>
      <c r="J9" s="287"/>
      <c r="K9" s="286" t="s">
        <v>2</v>
      </c>
      <c r="L9" s="286" t="s">
        <v>7</v>
      </c>
      <c r="M9" s="288"/>
      <c r="O9" s="352"/>
    </row>
    <row r="10" spans="1:15" s="20" customFormat="1" ht="12.75" x14ac:dyDescent="0.25">
      <c r="A10" s="31">
        <v>1</v>
      </c>
      <c r="B10" s="32">
        <v>2</v>
      </c>
      <c r="C10" s="32">
        <v>3</v>
      </c>
      <c r="D10" s="32">
        <v>4</v>
      </c>
      <c r="E10" s="32">
        <v>5</v>
      </c>
      <c r="F10" s="33">
        <v>6</v>
      </c>
      <c r="G10" s="35">
        <v>9</v>
      </c>
      <c r="H10" s="34" t="s">
        <v>26</v>
      </c>
      <c r="I10" s="35" t="s">
        <v>27</v>
      </c>
      <c r="J10" s="34" t="s">
        <v>28</v>
      </c>
      <c r="K10" s="35" t="s">
        <v>29</v>
      </c>
      <c r="L10" s="34" t="s">
        <v>30</v>
      </c>
      <c r="M10" s="35" t="s">
        <v>31</v>
      </c>
      <c r="O10" s="352"/>
    </row>
    <row r="11" spans="1:15" s="23" customFormat="1" ht="12.75" x14ac:dyDescent="0.25">
      <c r="A11" s="289">
        <f>ROW()-10</f>
        <v>1</v>
      </c>
      <c r="B11" s="290" t="s">
        <v>84</v>
      </c>
      <c r="C11" s="291" t="s">
        <v>85</v>
      </c>
      <c r="D11" s="45"/>
      <c r="E11" s="292"/>
      <c r="F11" s="293"/>
      <c r="G11" s="294"/>
      <c r="H11" s="295"/>
      <c r="I11" s="296"/>
      <c r="J11" s="46"/>
      <c r="K11" s="46"/>
      <c r="L11" s="46"/>
      <c r="M11" s="47"/>
      <c r="O11" s="353"/>
    </row>
    <row r="12" spans="1:15" s="23" customFormat="1" ht="12.75" x14ac:dyDescent="0.25">
      <c r="A12" s="297">
        <f>ROW()-10</f>
        <v>2</v>
      </c>
      <c r="B12" s="298" t="s">
        <v>84</v>
      </c>
      <c r="C12" s="299" t="s">
        <v>86</v>
      </c>
      <c r="D12" s="48"/>
      <c r="E12" s="300"/>
      <c r="F12" s="301"/>
      <c r="G12" s="302"/>
      <c r="H12" s="303"/>
      <c r="I12" s="304"/>
      <c r="J12" s="51"/>
      <c r="K12" s="51"/>
      <c r="L12" s="51"/>
      <c r="M12" s="52"/>
      <c r="O12" s="354"/>
    </row>
    <row r="13" spans="1:15" s="44" customFormat="1" ht="25.5" customHeight="1" x14ac:dyDescent="0.25">
      <c r="A13" s="305">
        <f>ROW()-10</f>
        <v>3</v>
      </c>
      <c r="B13" s="306" t="s">
        <v>87</v>
      </c>
      <c r="C13" s="307" t="s">
        <v>88</v>
      </c>
      <c r="D13" s="36"/>
      <c r="E13" s="308"/>
      <c r="F13" s="309"/>
      <c r="G13" s="310"/>
      <c r="H13" s="311"/>
      <c r="I13" s="312"/>
      <c r="J13" s="28"/>
      <c r="K13" s="28"/>
      <c r="L13" s="28"/>
      <c r="M13" s="40"/>
      <c r="O13" s="355"/>
    </row>
    <row r="14" spans="1:15" s="23" customFormat="1" ht="25.5" x14ac:dyDescent="0.25">
      <c r="A14" s="43">
        <f t="shared" ref="A14:A39" si="0">ROW()-10</f>
        <v>4</v>
      </c>
      <c r="B14" s="14" t="s">
        <v>89</v>
      </c>
      <c r="C14" s="55" t="s">
        <v>90</v>
      </c>
      <c r="D14" s="5" t="s">
        <v>22</v>
      </c>
      <c r="E14" s="6" t="s">
        <v>8</v>
      </c>
      <c r="F14" s="7">
        <v>1</v>
      </c>
      <c r="G14" s="313">
        <f>21.08+34.25+2.96+15.19+7.98</f>
        <v>81.459999999999994</v>
      </c>
      <c r="H14" s="2"/>
      <c r="I14" s="4"/>
      <c r="J14" s="21">
        <f>I14</f>
        <v>0</v>
      </c>
      <c r="K14" s="21"/>
      <c r="L14" s="21">
        <f>G14*I14</f>
        <v>0</v>
      </c>
      <c r="M14" s="22">
        <f>L14</f>
        <v>0</v>
      </c>
      <c r="O14" s="354"/>
    </row>
    <row r="15" spans="1:15" s="68" customFormat="1" ht="25.5" x14ac:dyDescent="0.25">
      <c r="A15" s="42">
        <f t="shared" si="0"/>
        <v>5</v>
      </c>
      <c r="B15" s="15"/>
      <c r="C15" s="314" t="s">
        <v>91</v>
      </c>
      <c r="D15" s="315" t="s">
        <v>25</v>
      </c>
      <c r="E15" s="316" t="s">
        <v>8</v>
      </c>
      <c r="F15" s="317">
        <v>1.05</v>
      </c>
      <c r="G15" s="318">
        <f>(21.08+34.25)*F15*2</f>
        <v>116.19</v>
      </c>
      <c r="H15" s="3"/>
      <c r="I15" s="24"/>
      <c r="J15" s="25">
        <f t="shared" ref="J15:J27" si="1">H15</f>
        <v>0</v>
      </c>
      <c r="K15" s="25">
        <f t="shared" ref="K15:K27" si="2">G15*H15</f>
        <v>0</v>
      </c>
      <c r="L15" s="25"/>
      <c r="M15" s="26">
        <f t="shared" ref="M15:M27" si="3">K15</f>
        <v>0</v>
      </c>
      <c r="O15" s="356"/>
    </row>
    <row r="16" spans="1:15" s="68" customFormat="1" ht="25.5" x14ac:dyDescent="0.25">
      <c r="A16" s="42">
        <f t="shared" si="0"/>
        <v>6</v>
      </c>
      <c r="B16" s="15" t="s">
        <v>93</v>
      </c>
      <c r="C16" s="314" t="s">
        <v>92</v>
      </c>
      <c r="D16" s="315" t="s">
        <v>25</v>
      </c>
      <c r="E16" s="316" t="s">
        <v>8</v>
      </c>
      <c r="F16" s="317">
        <v>1.05</v>
      </c>
      <c r="G16" s="318">
        <f>2.96*F16*2</f>
        <v>6.22</v>
      </c>
      <c r="H16" s="3"/>
      <c r="I16" s="24"/>
      <c r="J16" s="25">
        <f t="shared" si="1"/>
        <v>0</v>
      </c>
      <c r="K16" s="25">
        <f t="shared" si="2"/>
        <v>0</v>
      </c>
      <c r="L16" s="25"/>
      <c r="M16" s="26">
        <f t="shared" si="3"/>
        <v>0</v>
      </c>
      <c r="O16" s="356"/>
    </row>
    <row r="17" spans="1:15" s="68" customFormat="1" ht="25.5" x14ac:dyDescent="0.25">
      <c r="A17" s="42">
        <f t="shared" si="0"/>
        <v>7</v>
      </c>
      <c r="B17" s="15" t="s">
        <v>94</v>
      </c>
      <c r="C17" s="314" t="s">
        <v>95</v>
      </c>
      <c r="D17" s="315" t="s">
        <v>25</v>
      </c>
      <c r="E17" s="316" t="s">
        <v>8</v>
      </c>
      <c r="F17" s="317">
        <v>1.05</v>
      </c>
      <c r="G17" s="318">
        <f>(15.19+7.98)*F17*2</f>
        <v>48.66</v>
      </c>
      <c r="H17" s="3"/>
      <c r="I17" s="24"/>
      <c r="J17" s="25">
        <f t="shared" si="1"/>
        <v>0</v>
      </c>
      <c r="K17" s="25">
        <f t="shared" si="2"/>
        <v>0</v>
      </c>
      <c r="L17" s="25"/>
      <c r="M17" s="26">
        <f t="shared" si="3"/>
        <v>0</v>
      </c>
      <c r="O17" s="356"/>
    </row>
    <row r="18" spans="1:15" s="68" customFormat="1" ht="25.5" x14ac:dyDescent="0.25">
      <c r="A18" s="42">
        <f t="shared" si="0"/>
        <v>8</v>
      </c>
      <c r="B18" s="15"/>
      <c r="C18" s="314" t="s">
        <v>39</v>
      </c>
      <c r="D18" s="315" t="s">
        <v>25</v>
      </c>
      <c r="E18" s="316" t="s">
        <v>12</v>
      </c>
      <c r="F18" s="317">
        <v>2.9</v>
      </c>
      <c r="G18" s="318">
        <f>$G$14*F18</f>
        <v>236.23</v>
      </c>
      <c r="H18" s="3"/>
      <c r="I18" s="24"/>
      <c r="J18" s="25">
        <f t="shared" si="1"/>
        <v>0</v>
      </c>
      <c r="K18" s="25">
        <f t="shared" si="2"/>
        <v>0</v>
      </c>
      <c r="L18" s="25"/>
      <c r="M18" s="26">
        <f t="shared" si="3"/>
        <v>0</v>
      </c>
      <c r="O18" s="356"/>
    </row>
    <row r="19" spans="1:15" s="68" customFormat="1" ht="25.5" x14ac:dyDescent="0.25">
      <c r="A19" s="42">
        <f t="shared" si="0"/>
        <v>9</v>
      </c>
      <c r="B19" s="15"/>
      <c r="C19" s="314" t="s">
        <v>35</v>
      </c>
      <c r="D19" s="315" t="s">
        <v>25</v>
      </c>
      <c r="E19" s="316" t="s">
        <v>12</v>
      </c>
      <c r="F19" s="317">
        <v>1.35</v>
      </c>
      <c r="G19" s="318">
        <f>$G$14*F19</f>
        <v>109.97</v>
      </c>
      <c r="H19" s="3"/>
      <c r="I19" s="24"/>
      <c r="J19" s="25">
        <f t="shared" si="1"/>
        <v>0</v>
      </c>
      <c r="K19" s="25">
        <f t="shared" si="2"/>
        <v>0</v>
      </c>
      <c r="L19" s="25"/>
      <c r="M19" s="26">
        <f t="shared" si="3"/>
        <v>0</v>
      </c>
      <c r="O19" s="356"/>
    </row>
    <row r="20" spans="1:15" s="68" customFormat="1" ht="25.5" x14ac:dyDescent="0.25">
      <c r="A20" s="42">
        <f t="shared" si="0"/>
        <v>10</v>
      </c>
      <c r="B20" s="15"/>
      <c r="C20" s="314" t="s">
        <v>40</v>
      </c>
      <c r="D20" s="315" t="s">
        <v>25</v>
      </c>
      <c r="E20" s="316" t="s">
        <v>34</v>
      </c>
      <c r="F20" s="317">
        <v>0.2</v>
      </c>
      <c r="G20" s="318">
        <f>ROUNDUP($G$14*F20,0)</f>
        <v>17</v>
      </c>
      <c r="H20" s="3"/>
      <c r="I20" s="24"/>
      <c r="J20" s="25">
        <f t="shared" si="1"/>
        <v>0</v>
      </c>
      <c r="K20" s="25">
        <f t="shared" si="2"/>
        <v>0</v>
      </c>
      <c r="L20" s="25"/>
      <c r="M20" s="26">
        <f t="shared" si="3"/>
        <v>0</v>
      </c>
      <c r="O20" s="356"/>
    </row>
    <row r="21" spans="1:15" s="68" customFormat="1" ht="25.5" x14ac:dyDescent="0.25">
      <c r="A21" s="42">
        <f t="shared" si="0"/>
        <v>11</v>
      </c>
      <c r="B21" s="15"/>
      <c r="C21" s="314" t="s">
        <v>41</v>
      </c>
      <c r="D21" s="315" t="s">
        <v>25</v>
      </c>
      <c r="E21" s="316" t="s">
        <v>34</v>
      </c>
      <c r="F21" s="317">
        <v>1.7</v>
      </c>
      <c r="G21" s="318">
        <f>ROUNDUP($G$14*F21,0)</f>
        <v>139</v>
      </c>
      <c r="H21" s="3"/>
      <c r="I21" s="24"/>
      <c r="J21" s="25">
        <f t="shared" si="1"/>
        <v>0</v>
      </c>
      <c r="K21" s="25">
        <f t="shared" si="2"/>
        <v>0</v>
      </c>
      <c r="L21" s="25"/>
      <c r="M21" s="26">
        <f t="shared" si="3"/>
        <v>0</v>
      </c>
      <c r="O21" s="356"/>
    </row>
    <row r="22" spans="1:15" s="68" customFormat="1" ht="25.5" x14ac:dyDescent="0.25">
      <c r="A22" s="42">
        <f t="shared" si="0"/>
        <v>12</v>
      </c>
      <c r="B22" s="15"/>
      <c r="C22" s="314" t="s">
        <v>42</v>
      </c>
      <c r="D22" s="315" t="s">
        <v>25</v>
      </c>
      <c r="E22" s="316" t="s">
        <v>34</v>
      </c>
      <c r="F22" s="317">
        <v>0.7</v>
      </c>
      <c r="G22" s="318">
        <f>ROUNDUP($G$14*F22,0)</f>
        <v>58</v>
      </c>
      <c r="H22" s="3"/>
      <c r="I22" s="24"/>
      <c r="J22" s="25">
        <f t="shared" si="1"/>
        <v>0</v>
      </c>
      <c r="K22" s="25">
        <f t="shared" si="2"/>
        <v>0</v>
      </c>
      <c r="L22" s="25"/>
      <c r="M22" s="26">
        <f t="shared" si="3"/>
        <v>0</v>
      </c>
      <c r="O22" s="356"/>
    </row>
    <row r="23" spans="1:15" s="68" customFormat="1" ht="25.5" x14ac:dyDescent="0.25">
      <c r="A23" s="42">
        <f t="shared" si="0"/>
        <v>13</v>
      </c>
      <c r="B23" s="15"/>
      <c r="C23" s="314" t="s">
        <v>43</v>
      </c>
      <c r="D23" s="315" t="s">
        <v>25</v>
      </c>
      <c r="E23" s="316" t="s">
        <v>34</v>
      </c>
      <c r="F23" s="317">
        <v>0.7</v>
      </c>
      <c r="G23" s="318">
        <f>ROUNDUP($G$14*F23,0)</f>
        <v>58</v>
      </c>
      <c r="H23" s="3"/>
      <c r="I23" s="24"/>
      <c r="J23" s="25">
        <f t="shared" si="1"/>
        <v>0</v>
      </c>
      <c r="K23" s="25">
        <f t="shared" si="2"/>
        <v>0</v>
      </c>
      <c r="L23" s="25"/>
      <c r="M23" s="26">
        <f t="shared" si="3"/>
        <v>0</v>
      </c>
      <c r="O23" s="356"/>
    </row>
    <row r="24" spans="1:15" s="68" customFormat="1" ht="25.5" x14ac:dyDescent="0.25">
      <c r="A24" s="42">
        <f t="shared" si="0"/>
        <v>14</v>
      </c>
      <c r="B24" s="15"/>
      <c r="C24" s="314" t="s">
        <v>36</v>
      </c>
      <c r="D24" s="315" t="s">
        <v>25</v>
      </c>
      <c r="E24" s="316" t="s">
        <v>34</v>
      </c>
      <c r="F24" s="317">
        <v>23</v>
      </c>
      <c r="G24" s="318">
        <f>ROUNDUP($G$14*F24*2,0)</f>
        <v>3748</v>
      </c>
      <c r="H24" s="3"/>
      <c r="I24" s="24"/>
      <c r="J24" s="25">
        <f t="shared" si="1"/>
        <v>0</v>
      </c>
      <c r="K24" s="25">
        <f t="shared" si="2"/>
        <v>0</v>
      </c>
      <c r="L24" s="25"/>
      <c r="M24" s="26">
        <f t="shared" si="3"/>
        <v>0</v>
      </c>
      <c r="O24" s="356"/>
    </row>
    <row r="25" spans="1:15" s="68" customFormat="1" ht="25.5" x14ac:dyDescent="0.25">
      <c r="A25" s="42">
        <f t="shared" si="0"/>
        <v>15</v>
      </c>
      <c r="B25" s="15"/>
      <c r="C25" s="314" t="s">
        <v>44</v>
      </c>
      <c r="D25" s="315" t="s">
        <v>25</v>
      </c>
      <c r="E25" s="316" t="s">
        <v>34</v>
      </c>
      <c r="F25" s="317">
        <v>0.7</v>
      </c>
      <c r="G25" s="318">
        <f>ROUNDUP($G$14*F25*2,0)</f>
        <v>115</v>
      </c>
      <c r="H25" s="3"/>
      <c r="I25" s="24"/>
      <c r="J25" s="25">
        <f t="shared" si="1"/>
        <v>0</v>
      </c>
      <c r="K25" s="25">
        <f t="shared" si="2"/>
        <v>0</v>
      </c>
      <c r="L25" s="25"/>
      <c r="M25" s="26">
        <f t="shared" si="3"/>
        <v>0</v>
      </c>
      <c r="O25" s="356"/>
    </row>
    <row r="26" spans="1:15" s="68" customFormat="1" ht="25.5" x14ac:dyDescent="0.25">
      <c r="A26" s="42">
        <f t="shared" si="0"/>
        <v>16</v>
      </c>
      <c r="B26" s="15"/>
      <c r="C26" s="314" t="s">
        <v>37</v>
      </c>
      <c r="D26" s="315" t="s">
        <v>25</v>
      </c>
      <c r="E26" s="316" t="s">
        <v>10</v>
      </c>
      <c r="F26" s="317">
        <v>0.35</v>
      </c>
      <c r="G26" s="318">
        <f>$G$14*F26</f>
        <v>28.51</v>
      </c>
      <c r="H26" s="3"/>
      <c r="I26" s="24"/>
      <c r="J26" s="25">
        <f t="shared" si="1"/>
        <v>0</v>
      </c>
      <c r="K26" s="25">
        <f t="shared" si="2"/>
        <v>0</v>
      </c>
      <c r="L26" s="25"/>
      <c r="M26" s="26">
        <f t="shared" si="3"/>
        <v>0</v>
      </c>
      <c r="O26" s="356"/>
    </row>
    <row r="27" spans="1:15" s="68" customFormat="1" ht="25.5" x14ac:dyDescent="0.25">
      <c r="A27" s="42">
        <f t="shared" si="0"/>
        <v>17</v>
      </c>
      <c r="B27" s="15"/>
      <c r="C27" s="314" t="s">
        <v>38</v>
      </c>
      <c r="D27" s="315" t="s">
        <v>25</v>
      </c>
      <c r="E27" s="316" t="s">
        <v>12</v>
      </c>
      <c r="F27" s="317">
        <v>1.2</v>
      </c>
      <c r="G27" s="318">
        <f>$G$14*F27</f>
        <v>97.75</v>
      </c>
      <c r="H27" s="3"/>
      <c r="I27" s="24"/>
      <c r="J27" s="25">
        <f t="shared" si="1"/>
        <v>0</v>
      </c>
      <c r="K27" s="25">
        <f t="shared" si="2"/>
        <v>0</v>
      </c>
      <c r="L27" s="25"/>
      <c r="M27" s="26">
        <f t="shared" si="3"/>
        <v>0</v>
      </c>
      <c r="O27" s="356"/>
    </row>
    <row r="28" spans="1:15" s="23" customFormat="1" ht="12.75" x14ac:dyDescent="0.25">
      <c r="A28" s="319">
        <f t="shared" si="0"/>
        <v>18</v>
      </c>
      <c r="B28" s="320" t="s">
        <v>96</v>
      </c>
      <c r="C28" s="321" t="s">
        <v>97</v>
      </c>
      <c r="D28" s="322" t="s">
        <v>22</v>
      </c>
      <c r="E28" s="323" t="s">
        <v>8</v>
      </c>
      <c r="F28" s="143">
        <v>1</v>
      </c>
      <c r="G28" s="313">
        <v>12.7</v>
      </c>
      <c r="H28" s="2"/>
      <c r="I28" s="4"/>
      <c r="J28" s="21">
        <f>I28</f>
        <v>0</v>
      </c>
      <c r="K28" s="21"/>
      <c r="L28" s="21">
        <f>G28*I28</f>
        <v>0</v>
      </c>
      <c r="M28" s="22">
        <f>L28</f>
        <v>0</v>
      </c>
      <c r="O28" s="354"/>
    </row>
    <row r="29" spans="1:15" s="68" customFormat="1" ht="25.5" x14ac:dyDescent="0.25">
      <c r="A29" s="324">
        <f t="shared" si="0"/>
        <v>19</v>
      </c>
      <c r="B29" s="325"/>
      <c r="C29" s="314" t="s">
        <v>98</v>
      </c>
      <c r="D29" s="315" t="s">
        <v>25</v>
      </c>
      <c r="E29" s="316" t="s">
        <v>12</v>
      </c>
      <c r="F29" s="317">
        <v>1.1000000000000001</v>
      </c>
      <c r="G29" s="318">
        <f>G28*9*F29</f>
        <v>125.73</v>
      </c>
      <c r="H29" s="3"/>
      <c r="I29" s="24"/>
      <c r="J29" s="25">
        <f>H29</f>
        <v>0</v>
      </c>
      <c r="K29" s="25">
        <f>G29*H29</f>
        <v>0</v>
      </c>
      <c r="L29" s="25"/>
      <c r="M29" s="26">
        <f>K29</f>
        <v>0</v>
      </c>
      <c r="O29" s="356"/>
    </row>
    <row r="30" spans="1:15" s="23" customFormat="1" ht="12.75" x14ac:dyDescent="0.25">
      <c r="A30" s="43">
        <f t="shared" si="0"/>
        <v>20</v>
      </c>
      <c r="B30" s="14" t="s">
        <v>99</v>
      </c>
      <c r="C30" s="55" t="s">
        <v>100</v>
      </c>
      <c r="D30" s="5" t="s">
        <v>22</v>
      </c>
      <c r="E30" s="6" t="s">
        <v>8</v>
      </c>
      <c r="F30" s="7">
        <v>1</v>
      </c>
      <c r="G30" s="313">
        <f>56.5+23+14.2</f>
        <v>93.7</v>
      </c>
      <c r="H30" s="2"/>
      <c r="I30" s="4"/>
      <c r="J30" s="21">
        <f>I30</f>
        <v>0</v>
      </c>
      <c r="K30" s="21"/>
      <c r="L30" s="21">
        <f>G30*I30</f>
        <v>0</v>
      </c>
      <c r="M30" s="22">
        <f>L30</f>
        <v>0</v>
      </c>
      <c r="O30" s="354"/>
    </row>
    <row r="31" spans="1:15" s="68" customFormat="1" ht="25.5" x14ac:dyDescent="0.25">
      <c r="A31" s="42">
        <f t="shared" si="0"/>
        <v>21</v>
      </c>
      <c r="B31" s="15"/>
      <c r="C31" s="326" t="s">
        <v>13</v>
      </c>
      <c r="D31" s="315" t="s">
        <v>25</v>
      </c>
      <c r="E31" s="316" t="s">
        <v>14</v>
      </c>
      <c r="F31" s="317">
        <v>0.1</v>
      </c>
      <c r="G31" s="318">
        <f>G30*F31</f>
        <v>9.3699999999999992</v>
      </c>
      <c r="H31" s="3"/>
      <c r="I31" s="24"/>
      <c r="J31" s="25">
        <f>H31</f>
        <v>0</v>
      </c>
      <c r="K31" s="25">
        <f>G31*H31</f>
        <v>0</v>
      </c>
      <c r="L31" s="25"/>
      <c r="M31" s="26">
        <f>K31</f>
        <v>0</v>
      </c>
      <c r="O31" s="356"/>
    </row>
    <row r="32" spans="1:15" s="68" customFormat="1" ht="25.5" x14ac:dyDescent="0.25">
      <c r="A32" s="42">
        <f t="shared" si="0"/>
        <v>22</v>
      </c>
      <c r="B32" s="15"/>
      <c r="C32" s="326" t="s">
        <v>101</v>
      </c>
      <c r="D32" s="315" t="s">
        <v>25</v>
      </c>
      <c r="E32" s="316" t="s">
        <v>10</v>
      </c>
      <c r="F32" s="317">
        <v>1.2</v>
      </c>
      <c r="G32" s="318">
        <f>G30*F32</f>
        <v>112.44</v>
      </c>
      <c r="H32" s="3"/>
      <c r="I32" s="24"/>
      <c r="J32" s="25">
        <f>H32</f>
        <v>0</v>
      </c>
      <c r="K32" s="25">
        <f>G32*H32</f>
        <v>0</v>
      </c>
      <c r="L32" s="25"/>
      <c r="M32" s="26">
        <f>K32</f>
        <v>0</v>
      </c>
      <c r="O32" s="356"/>
    </row>
    <row r="33" spans="1:15" s="68" customFormat="1" ht="25.5" x14ac:dyDescent="0.25">
      <c r="A33" s="42">
        <f t="shared" si="0"/>
        <v>23</v>
      </c>
      <c r="B33" s="15"/>
      <c r="C33" s="314" t="s">
        <v>23</v>
      </c>
      <c r="D33" s="315" t="s">
        <v>25</v>
      </c>
      <c r="E33" s="316" t="s">
        <v>10</v>
      </c>
      <c r="F33" s="317">
        <v>1.7</v>
      </c>
      <c r="G33" s="318">
        <f>G30*F33</f>
        <v>159.29</v>
      </c>
      <c r="H33" s="3"/>
      <c r="I33" s="24"/>
      <c r="J33" s="25">
        <f>H33</f>
        <v>0</v>
      </c>
      <c r="K33" s="25">
        <f>G33*H33</f>
        <v>0</v>
      </c>
      <c r="L33" s="25"/>
      <c r="M33" s="26">
        <f>K33</f>
        <v>0</v>
      </c>
      <c r="O33" s="356"/>
    </row>
    <row r="34" spans="1:15" s="23" customFormat="1" ht="38.25" x14ac:dyDescent="0.25">
      <c r="A34" s="43">
        <f t="shared" si="0"/>
        <v>24</v>
      </c>
      <c r="B34" s="14" t="s">
        <v>102</v>
      </c>
      <c r="C34" s="8" t="s">
        <v>103</v>
      </c>
      <c r="D34" s="5" t="s">
        <v>22</v>
      </c>
      <c r="E34" s="6" t="s">
        <v>8</v>
      </c>
      <c r="F34" s="7">
        <v>1</v>
      </c>
      <c r="G34" s="313">
        <f>56.5+23+14.2+12.7</f>
        <v>106.4</v>
      </c>
      <c r="H34" s="2"/>
      <c r="I34" s="4"/>
      <c r="J34" s="21">
        <f>I34</f>
        <v>0</v>
      </c>
      <c r="K34" s="21"/>
      <c r="L34" s="21">
        <f>G34*I34</f>
        <v>0</v>
      </c>
      <c r="M34" s="22">
        <f>L34</f>
        <v>0</v>
      </c>
      <c r="O34" s="354"/>
    </row>
    <row r="35" spans="1:15" s="68" customFormat="1" ht="25.5" x14ac:dyDescent="0.25">
      <c r="A35" s="42">
        <f t="shared" si="0"/>
        <v>25</v>
      </c>
      <c r="B35" s="15"/>
      <c r="C35" s="314" t="s">
        <v>13</v>
      </c>
      <c r="D35" s="315" t="s">
        <v>25</v>
      </c>
      <c r="E35" s="316" t="s">
        <v>14</v>
      </c>
      <c r="F35" s="317">
        <v>0.1</v>
      </c>
      <c r="G35" s="318">
        <f>G34*F35</f>
        <v>10.64</v>
      </c>
      <c r="H35" s="3"/>
      <c r="I35" s="24"/>
      <c r="J35" s="25">
        <f>H35</f>
        <v>0</v>
      </c>
      <c r="K35" s="25">
        <f>G35*H35</f>
        <v>0</v>
      </c>
      <c r="L35" s="25"/>
      <c r="M35" s="26">
        <f>K35</f>
        <v>0</v>
      </c>
      <c r="O35" s="356"/>
    </row>
    <row r="36" spans="1:15" s="68" customFormat="1" ht="25.5" x14ac:dyDescent="0.25">
      <c r="A36" s="42">
        <f t="shared" si="0"/>
        <v>26</v>
      </c>
      <c r="B36" s="15"/>
      <c r="C36" s="314" t="s">
        <v>104</v>
      </c>
      <c r="D36" s="315" t="s">
        <v>25</v>
      </c>
      <c r="E36" s="316" t="s">
        <v>14</v>
      </c>
      <c r="F36" s="317">
        <v>0.3</v>
      </c>
      <c r="G36" s="318">
        <f>56.5*F36</f>
        <v>16.95</v>
      </c>
      <c r="H36" s="3"/>
      <c r="I36" s="24"/>
      <c r="J36" s="25">
        <f>H36</f>
        <v>0</v>
      </c>
      <c r="K36" s="25">
        <f>G36*H36</f>
        <v>0</v>
      </c>
      <c r="L36" s="25"/>
      <c r="M36" s="26">
        <f>K36</f>
        <v>0</v>
      </c>
      <c r="O36" s="356"/>
    </row>
    <row r="37" spans="1:15" s="68" customFormat="1" ht="25.5" x14ac:dyDescent="0.25">
      <c r="A37" s="42">
        <f t="shared" si="0"/>
        <v>27</v>
      </c>
      <c r="B37" s="15"/>
      <c r="C37" s="314" t="s">
        <v>105</v>
      </c>
      <c r="D37" s="315" t="s">
        <v>25</v>
      </c>
      <c r="E37" s="316" t="s">
        <v>14</v>
      </c>
      <c r="F37" s="317">
        <v>0.3</v>
      </c>
      <c r="G37" s="318">
        <f>23*F37</f>
        <v>6.9</v>
      </c>
      <c r="H37" s="3"/>
      <c r="I37" s="24"/>
      <c r="J37" s="25">
        <f>H37</f>
        <v>0</v>
      </c>
      <c r="K37" s="25">
        <f>G37*H37</f>
        <v>0</v>
      </c>
      <c r="L37" s="25"/>
      <c r="M37" s="26">
        <f>K37</f>
        <v>0</v>
      </c>
      <c r="O37" s="356"/>
    </row>
    <row r="38" spans="1:15" s="68" customFormat="1" ht="25.5" x14ac:dyDescent="0.25">
      <c r="A38" s="42">
        <f t="shared" si="0"/>
        <v>28</v>
      </c>
      <c r="B38" s="38"/>
      <c r="C38" s="314" t="s">
        <v>106</v>
      </c>
      <c r="D38" s="315" t="s">
        <v>25</v>
      </c>
      <c r="E38" s="316" t="s">
        <v>14</v>
      </c>
      <c r="F38" s="317">
        <v>0.3</v>
      </c>
      <c r="G38" s="318">
        <f>14.2*F38</f>
        <v>4.26</v>
      </c>
      <c r="H38" s="3"/>
      <c r="I38" s="24"/>
      <c r="J38" s="25">
        <f>H38</f>
        <v>0</v>
      </c>
      <c r="K38" s="25">
        <f>G38*H38</f>
        <v>0</v>
      </c>
      <c r="L38" s="25"/>
      <c r="M38" s="26">
        <f>K38</f>
        <v>0</v>
      </c>
      <c r="O38" s="356"/>
    </row>
    <row r="39" spans="1:15" s="68" customFormat="1" ht="51" x14ac:dyDescent="0.25">
      <c r="A39" s="42">
        <f t="shared" si="0"/>
        <v>29</v>
      </c>
      <c r="B39" s="38" t="s">
        <v>123</v>
      </c>
      <c r="C39" s="314" t="s">
        <v>107</v>
      </c>
      <c r="D39" s="315" t="s">
        <v>25</v>
      </c>
      <c r="E39" s="316" t="s">
        <v>14</v>
      </c>
      <c r="F39" s="317">
        <v>0.3</v>
      </c>
      <c r="G39" s="318">
        <f>(12.7+16.7*0.44)*F39</f>
        <v>6.01</v>
      </c>
      <c r="H39" s="3"/>
      <c r="I39" s="24"/>
      <c r="J39" s="25">
        <f>H39</f>
        <v>0</v>
      </c>
      <c r="K39" s="25">
        <f>G39*H39</f>
        <v>0</v>
      </c>
      <c r="L39" s="25"/>
      <c r="M39" s="26">
        <f>K39</f>
        <v>0</v>
      </c>
      <c r="O39" s="356"/>
    </row>
    <row r="40" spans="1:15" s="44" customFormat="1" ht="25.5" customHeight="1" x14ac:dyDescent="0.25">
      <c r="A40" s="256">
        <f>ROW()-10</f>
        <v>30</v>
      </c>
      <c r="B40" s="306" t="s">
        <v>110</v>
      </c>
      <c r="C40" s="307" t="s">
        <v>109</v>
      </c>
      <c r="D40" s="36"/>
      <c r="E40" s="308"/>
      <c r="F40" s="309"/>
      <c r="G40" s="310"/>
      <c r="H40" s="39"/>
      <c r="I40" s="37"/>
      <c r="J40" s="28"/>
      <c r="K40" s="28"/>
      <c r="L40" s="28"/>
      <c r="M40" s="40"/>
      <c r="O40" s="355"/>
    </row>
    <row r="41" spans="1:15" s="23" customFormat="1" ht="12.75" x14ac:dyDescent="0.25">
      <c r="A41" s="43">
        <f t="shared" ref="A41:A66" si="4">ROW()-10</f>
        <v>31</v>
      </c>
      <c r="B41" s="14" t="s">
        <v>110</v>
      </c>
      <c r="C41" s="55" t="s">
        <v>21</v>
      </c>
      <c r="D41" s="5" t="s">
        <v>22</v>
      </c>
      <c r="E41" s="6" t="s">
        <v>8</v>
      </c>
      <c r="F41" s="7">
        <v>1</v>
      </c>
      <c r="G41" s="313">
        <v>213.5</v>
      </c>
      <c r="H41" s="2"/>
      <c r="I41" s="4"/>
      <c r="J41" s="21">
        <f>I41</f>
        <v>0</v>
      </c>
      <c r="K41" s="21"/>
      <c r="L41" s="21">
        <f>G41*I41</f>
        <v>0</v>
      </c>
      <c r="M41" s="22">
        <f>L41</f>
        <v>0</v>
      </c>
      <c r="O41" s="354"/>
    </row>
    <row r="42" spans="1:15" s="68" customFormat="1" ht="25.5" x14ac:dyDescent="0.25">
      <c r="A42" s="42">
        <f t="shared" si="4"/>
        <v>32</v>
      </c>
      <c r="B42" s="15"/>
      <c r="C42" s="326" t="s">
        <v>13</v>
      </c>
      <c r="D42" s="315" t="s">
        <v>25</v>
      </c>
      <c r="E42" s="316" t="s">
        <v>14</v>
      </c>
      <c r="F42" s="317">
        <v>0.1</v>
      </c>
      <c r="G42" s="318">
        <f>G41*F42</f>
        <v>21.35</v>
      </c>
      <c r="H42" s="3"/>
      <c r="I42" s="24"/>
      <c r="J42" s="25">
        <f>H42</f>
        <v>0</v>
      </c>
      <c r="K42" s="25">
        <f>G42*H42</f>
        <v>0</v>
      </c>
      <c r="L42" s="25"/>
      <c r="M42" s="26">
        <f>K42</f>
        <v>0</v>
      </c>
      <c r="O42" s="356"/>
    </row>
    <row r="43" spans="1:15" s="68" customFormat="1" ht="25.5" x14ac:dyDescent="0.25">
      <c r="A43" s="42">
        <f t="shared" si="4"/>
        <v>33</v>
      </c>
      <c r="B43" s="15"/>
      <c r="C43" s="326" t="s">
        <v>52</v>
      </c>
      <c r="D43" s="315" t="s">
        <v>25</v>
      </c>
      <c r="E43" s="316" t="s">
        <v>10</v>
      </c>
      <c r="F43" s="317">
        <v>1.2</v>
      </c>
      <c r="G43" s="318">
        <f>G41*F43</f>
        <v>256.2</v>
      </c>
      <c r="H43" s="3"/>
      <c r="I43" s="24"/>
      <c r="J43" s="25">
        <f>H43</f>
        <v>0</v>
      </c>
      <c r="K43" s="25">
        <f>G43*H43</f>
        <v>0</v>
      </c>
      <c r="L43" s="25"/>
      <c r="M43" s="26">
        <f>K43</f>
        <v>0</v>
      </c>
      <c r="O43" s="356"/>
    </row>
    <row r="44" spans="1:15" s="68" customFormat="1" ht="25.5" x14ac:dyDescent="0.25">
      <c r="A44" s="42">
        <f t="shared" si="4"/>
        <v>34</v>
      </c>
      <c r="B44" s="15"/>
      <c r="C44" s="314" t="s">
        <v>23</v>
      </c>
      <c r="D44" s="315" t="s">
        <v>25</v>
      </c>
      <c r="E44" s="316" t="s">
        <v>10</v>
      </c>
      <c r="F44" s="317">
        <v>1.7</v>
      </c>
      <c r="G44" s="318">
        <f>G41*F44</f>
        <v>362.95</v>
      </c>
      <c r="H44" s="3"/>
      <c r="I44" s="24"/>
      <c r="J44" s="25">
        <f>H44</f>
        <v>0</v>
      </c>
      <c r="K44" s="25">
        <f>G44*H44</f>
        <v>0</v>
      </c>
      <c r="L44" s="25"/>
      <c r="M44" s="26">
        <f>K44</f>
        <v>0</v>
      </c>
      <c r="O44" s="356"/>
    </row>
    <row r="45" spans="1:15" s="23" customFormat="1" ht="12.75" x14ac:dyDescent="0.25">
      <c r="A45" s="43">
        <f t="shared" si="4"/>
        <v>35</v>
      </c>
      <c r="B45" s="14" t="s">
        <v>110</v>
      </c>
      <c r="C45" s="8" t="s">
        <v>15</v>
      </c>
      <c r="D45" s="5" t="s">
        <v>22</v>
      </c>
      <c r="E45" s="6" t="s">
        <v>8</v>
      </c>
      <c r="F45" s="7">
        <v>1</v>
      </c>
      <c r="G45" s="313">
        <v>92.55</v>
      </c>
      <c r="H45" s="2"/>
      <c r="I45" s="4"/>
      <c r="J45" s="21">
        <f>I45</f>
        <v>0</v>
      </c>
      <c r="K45" s="21"/>
      <c r="L45" s="21">
        <f>G45*I45</f>
        <v>0</v>
      </c>
      <c r="M45" s="22">
        <f>L45</f>
        <v>0</v>
      </c>
      <c r="O45" s="354"/>
    </row>
    <row r="46" spans="1:15" s="68" customFormat="1" ht="25.5" x14ac:dyDescent="0.25">
      <c r="A46" s="42">
        <f t="shared" si="4"/>
        <v>36</v>
      </c>
      <c r="B46" s="15"/>
      <c r="C46" s="314" t="s">
        <v>13</v>
      </c>
      <c r="D46" s="315" t="s">
        <v>25</v>
      </c>
      <c r="E46" s="316" t="s">
        <v>14</v>
      </c>
      <c r="F46" s="317">
        <v>0.1</v>
      </c>
      <c r="G46" s="318">
        <f>G45*F46</f>
        <v>9.26</v>
      </c>
      <c r="H46" s="3"/>
      <c r="I46" s="24"/>
      <c r="J46" s="25">
        <f>H46</f>
        <v>0</v>
      </c>
      <c r="K46" s="25">
        <f>G46*H46</f>
        <v>0</v>
      </c>
      <c r="L46" s="25"/>
      <c r="M46" s="26">
        <f>K46</f>
        <v>0</v>
      </c>
      <c r="O46" s="356"/>
    </row>
    <row r="47" spans="1:15" s="68" customFormat="1" ht="25.5" x14ac:dyDescent="0.25">
      <c r="A47" s="42">
        <f t="shared" si="4"/>
        <v>37</v>
      </c>
      <c r="B47" s="15"/>
      <c r="C47" s="314" t="s">
        <v>104</v>
      </c>
      <c r="D47" s="315" t="s">
        <v>25</v>
      </c>
      <c r="E47" s="316" t="s">
        <v>14</v>
      </c>
      <c r="F47" s="317">
        <v>0.3</v>
      </c>
      <c r="G47" s="318">
        <f>80.72*F47</f>
        <v>24.22</v>
      </c>
      <c r="H47" s="3"/>
      <c r="I47" s="24"/>
      <c r="J47" s="25">
        <f>H47</f>
        <v>0</v>
      </c>
      <c r="K47" s="25">
        <f>G47*H47</f>
        <v>0</v>
      </c>
      <c r="L47" s="25"/>
      <c r="M47" s="26">
        <f>K47</f>
        <v>0</v>
      </c>
      <c r="O47" s="356"/>
    </row>
    <row r="48" spans="1:15" s="68" customFormat="1" ht="25.5" x14ac:dyDescent="0.25">
      <c r="A48" s="42">
        <f t="shared" si="4"/>
        <v>38</v>
      </c>
      <c r="B48" s="15"/>
      <c r="C48" s="314" t="s">
        <v>105</v>
      </c>
      <c r="D48" s="315" t="s">
        <v>25</v>
      </c>
      <c r="E48" s="316" t="s">
        <v>14</v>
      </c>
      <c r="F48" s="317">
        <v>0.3</v>
      </c>
      <c r="G48" s="318">
        <f>11.83*F48</f>
        <v>3.55</v>
      </c>
      <c r="H48" s="3"/>
      <c r="I48" s="24"/>
      <c r="J48" s="25">
        <f>H48</f>
        <v>0</v>
      </c>
      <c r="K48" s="25">
        <f>G48*H48</f>
        <v>0</v>
      </c>
      <c r="L48" s="25"/>
      <c r="M48" s="26">
        <f>K48</f>
        <v>0</v>
      </c>
      <c r="O48" s="356"/>
    </row>
    <row r="49" spans="1:15" s="23" customFormat="1" ht="38.25" x14ac:dyDescent="0.25">
      <c r="A49" s="43">
        <f t="shared" si="4"/>
        <v>39</v>
      </c>
      <c r="B49" s="14" t="s">
        <v>110</v>
      </c>
      <c r="C49" s="8" t="s">
        <v>134</v>
      </c>
      <c r="D49" s="5" t="s">
        <v>22</v>
      </c>
      <c r="E49" s="6" t="s">
        <v>8</v>
      </c>
      <c r="F49" s="7">
        <v>1</v>
      </c>
      <c r="G49" s="313">
        <v>62.72</v>
      </c>
      <c r="H49" s="2"/>
      <c r="I49" s="4"/>
      <c r="J49" s="21">
        <f>I49</f>
        <v>0</v>
      </c>
      <c r="K49" s="21"/>
      <c r="L49" s="21">
        <f>G49*I49</f>
        <v>0</v>
      </c>
      <c r="M49" s="22">
        <f>L49</f>
        <v>0</v>
      </c>
      <c r="O49" s="354"/>
    </row>
    <row r="50" spans="1:15" s="68" customFormat="1" ht="25.5" x14ac:dyDescent="0.25">
      <c r="A50" s="42">
        <f t="shared" si="4"/>
        <v>40</v>
      </c>
      <c r="B50" s="15"/>
      <c r="C50" s="314" t="s">
        <v>58</v>
      </c>
      <c r="D50" s="315" t="s">
        <v>25</v>
      </c>
      <c r="E50" s="316" t="s">
        <v>8</v>
      </c>
      <c r="F50" s="317">
        <v>1.07</v>
      </c>
      <c r="G50" s="318">
        <f>G49*F50</f>
        <v>67.11</v>
      </c>
      <c r="H50" s="3"/>
      <c r="I50" s="24"/>
      <c r="J50" s="25">
        <f>H50</f>
        <v>0</v>
      </c>
      <c r="K50" s="25">
        <f>G50*H50</f>
        <v>0</v>
      </c>
      <c r="L50" s="25"/>
      <c r="M50" s="26">
        <f>K50</f>
        <v>0</v>
      </c>
      <c r="O50" s="356"/>
    </row>
    <row r="51" spans="1:15" s="68" customFormat="1" ht="25.5" x14ac:dyDescent="0.25">
      <c r="A51" s="42">
        <f t="shared" si="4"/>
        <v>41</v>
      </c>
      <c r="B51" s="15"/>
      <c r="C51" s="314" t="s">
        <v>9</v>
      </c>
      <c r="D51" s="315" t="s">
        <v>25</v>
      </c>
      <c r="E51" s="316" t="s">
        <v>10</v>
      </c>
      <c r="F51" s="317">
        <v>12</v>
      </c>
      <c r="G51" s="318">
        <f>G49*0.3*F51</f>
        <v>225.79</v>
      </c>
      <c r="H51" s="3"/>
      <c r="I51" s="24"/>
      <c r="J51" s="25">
        <f>H51</f>
        <v>0</v>
      </c>
      <c r="K51" s="25">
        <f>G51*H51</f>
        <v>0</v>
      </c>
      <c r="L51" s="25"/>
      <c r="M51" s="26">
        <f>K51</f>
        <v>0</v>
      </c>
      <c r="O51" s="356"/>
    </row>
    <row r="52" spans="1:15" s="68" customFormat="1" ht="25.5" x14ac:dyDescent="0.25">
      <c r="A52" s="42">
        <f t="shared" si="4"/>
        <v>42</v>
      </c>
      <c r="B52" s="15"/>
      <c r="C52" s="314" t="s">
        <v>11</v>
      </c>
      <c r="D52" s="315" t="s">
        <v>25</v>
      </c>
      <c r="E52" s="316" t="s">
        <v>10</v>
      </c>
      <c r="F52" s="317">
        <v>0.25</v>
      </c>
      <c r="G52" s="318">
        <f>G49*0.3*F52</f>
        <v>4.7</v>
      </c>
      <c r="H52" s="3"/>
      <c r="I52" s="24"/>
      <c r="J52" s="25">
        <f>H52</f>
        <v>0</v>
      </c>
      <c r="K52" s="25">
        <f>G52*H52</f>
        <v>0</v>
      </c>
      <c r="L52" s="25"/>
      <c r="M52" s="26">
        <f>K52</f>
        <v>0</v>
      </c>
      <c r="O52" s="356"/>
    </row>
    <row r="53" spans="1:15" s="68" customFormat="1" ht="25.5" x14ac:dyDescent="0.25">
      <c r="A53" s="42">
        <f t="shared" si="4"/>
        <v>43</v>
      </c>
      <c r="B53" s="15"/>
      <c r="C53" s="314" t="s">
        <v>46</v>
      </c>
      <c r="D53" s="315" t="s">
        <v>25</v>
      </c>
      <c r="E53" s="316" t="s">
        <v>12</v>
      </c>
      <c r="F53" s="317">
        <v>1.1000000000000001</v>
      </c>
      <c r="G53" s="318">
        <f>21.77*F53</f>
        <v>23.95</v>
      </c>
      <c r="H53" s="3"/>
      <c r="I53" s="24"/>
      <c r="J53" s="25">
        <f>H53</f>
        <v>0</v>
      </c>
      <c r="K53" s="25">
        <f>G53*H53</f>
        <v>0</v>
      </c>
      <c r="L53" s="25"/>
      <c r="M53" s="26">
        <f>K53</f>
        <v>0</v>
      </c>
      <c r="O53" s="356"/>
    </row>
    <row r="54" spans="1:15" s="23" customFormat="1" ht="38.25" x14ac:dyDescent="0.25">
      <c r="A54" s="43">
        <f t="shared" si="4"/>
        <v>44</v>
      </c>
      <c r="B54" s="14" t="s">
        <v>110</v>
      </c>
      <c r="C54" s="8" t="s">
        <v>49</v>
      </c>
      <c r="D54" s="5" t="s">
        <v>22</v>
      </c>
      <c r="E54" s="6" t="s">
        <v>8</v>
      </c>
      <c r="F54" s="7">
        <v>1</v>
      </c>
      <c r="G54" s="313">
        <v>120.95</v>
      </c>
      <c r="H54" s="2"/>
      <c r="I54" s="4"/>
      <c r="J54" s="21">
        <f>I54</f>
        <v>0</v>
      </c>
      <c r="K54" s="21"/>
      <c r="L54" s="21">
        <f>G54*I54</f>
        <v>0</v>
      </c>
      <c r="M54" s="22">
        <f>L54</f>
        <v>0</v>
      </c>
      <c r="O54" s="354"/>
    </row>
    <row r="55" spans="1:15" s="68" customFormat="1" ht="25.5" x14ac:dyDescent="0.25">
      <c r="A55" s="42">
        <f t="shared" si="4"/>
        <v>45</v>
      </c>
      <c r="B55" s="15"/>
      <c r="C55" s="314" t="s">
        <v>131</v>
      </c>
      <c r="D55" s="315" t="s">
        <v>25</v>
      </c>
      <c r="E55" s="316" t="s">
        <v>10</v>
      </c>
      <c r="F55" s="317">
        <v>2.5</v>
      </c>
      <c r="G55" s="318">
        <f>48.53*F55</f>
        <v>121.33</v>
      </c>
      <c r="H55" s="3"/>
      <c r="I55" s="24"/>
      <c r="J55" s="25">
        <f>H55</f>
        <v>0</v>
      </c>
      <c r="K55" s="25">
        <f>G55*H55</f>
        <v>0</v>
      </c>
      <c r="L55" s="25"/>
      <c r="M55" s="26">
        <f>K55</f>
        <v>0</v>
      </c>
      <c r="O55" s="356"/>
    </row>
    <row r="56" spans="1:15" s="68" customFormat="1" ht="25.5" x14ac:dyDescent="0.25">
      <c r="A56" s="42">
        <f t="shared" si="4"/>
        <v>46</v>
      </c>
      <c r="B56" s="15"/>
      <c r="C56" s="314" t="s">
        <v>132</v>
      </c>
      <c r="D56" s="315" t="s">
        <v>25</v>
      </c>
      <c r="E56" s="316" t="s">
        <v>10</v>
      </c>
      <c r="F56" s="317">
        <v>2.5</v>
      </c>
      <c r="G56" s="318">
        <f>72.43*F56</f>
        <v>181.08</v>
      </c>
      <c r="H56" s="3"/>
      <c r="I56" s="24"/>
      <c r="J56" s="25">
        <f>H56</f>
        <v>0</v>
      </c>
      <c r="K56" s="25">
        <f>G56*H56</f>
        <v>0</v>
      </c>
      <c r="L56" s="25"/>
      <c r="M56" s="26">
        <f>K56</f>
        <v>0</v>
      </c>
      <c r="O56" s="356"/>
    </row>
    <row r="57" spans="1:15" s="23" customFormat="1" ht="12.75" x14ac:dyDescent="0.25">
      <c r="A57" s="43">
        <f t="shared" si="4"/>
        <v>47</v>
      </c>
      <c r="B57" s="14" t="s">
        <v>110</v>
      </c>
      <c r="C57" s="8" t="s">
        <v>50</v>
      </c>
      <c r="D57" s="5" t="s">
        <v>22</v>
      </c>
      <c r="E57" s="6" t="s">
        <v>12</v>
      </c>
      <c r="F57" s="7">
        <v>1</v>
      </c>
      <c r="G57" s="313">
        <v>33.799999999999997</v>
      </c>
      <c r="H57" s="2"/>
      <c r="I57" s="4"/>
      <c r="J57" s="21">
        <f>I57</f>
        <v>0</v>
      </c>
      <c r="K57" s="21"/>
      <c r="L57" s="21">
        <f>G57*I57</f>
        <v>0</v>
      </c>
      <c r="M57" s="22">
        <f>L57</f>
        <v>0</v>
      </c>
      <c r="O57" s="354"/>
    </row>
    <row r="58" spans="1:15" s="68" customFormat="1" ht="25.5" x14ac:dyDescent="0.25">
      <c r="A58" s="42">
        <f t="shared" si="4"/>
        <v>48</v>
      </c>
      <c r="B58" s="15"/>
      <c r="C58" s="314" t="s">
        <v>51</v>
      </c>
      <c r="D58" s="315" t="s">
        <v>25</v>
      </c>
      <c r="E58" s="316" t="s">
        <v>12</v>
      </c>
      <c r="F58" s="317">
        <v>1.1000000000000001</v>
      </c>
      <c r="G58" s="318">
        <f>G57*F58</f>
        <v>37.18</v>
      </c>
      <c r="H58" s="3"/>
      <c r="I58" s="24"/>
      <c r="J58" s="25">
        <f>H58</f>
        <v>0</v>
      </c>
      <c r="K58" s="25">
        <f>G58*H58</f>
        <v>0</v>
      </c>
      <c r="L58" s="25"/>
      <c r="M58" s="26">
        <f>K58</f>
        <v>0</v>
      </c>
      <c r="O58" s="356"/>
    </row>
    <row r="59" spans="1:15" s="23" customFormat="1" ht="12.75" x14ac:dyDescent="0.25">
      <c r="A59" s="43">
        <f t="shared" si="4"/>
        <v>49</v>
      </c>
      <c r="B59" s="14" t="s">
        <v>110</v>
      </c>
      <c r="C59" s="8" t="s">
        <v>20</v>
      </c>
      <c r="D59" s="5" t="s">
        <v>22</v>
      </c>
      <c r="E59" s="6" t="s">
        <v>24</v>
      </c>
      <c r="F59" s="7">
        <v>1</v>
      </c>
      <c r="G59" s="313">
        <v>11.91</v>
      </c>
      <c r="H59" s="2"/>
      <c r="I59" s="4"/>
      <c r="J59" s="21">
        <f>I59</f>
        <v>0</v>
      </c>
      <c r="K59" s="21"/>
      <c r="L59" s="21">
        <f>G59*I59</f>
        <v>0</v>
      </c>
      <c r="M59" s="22">
        <f>L59</f>
        <v>0</v>
      </c>
      <c r="O59" s="354"/>
    </row>
    <row r="60" spans="1:15" s="68" customFormat="1" ht="25.5" x14ac:dyDescent="0.25">
      <c r="A60" s="42">
        <f t="shared" si="4"/>
        <v>50</v>
      </c>
      <c r="B60" s="327"/>
      <c r="C60" s="314" t="s">
        <v>32</v>
      </c>
      <c r="D60" s="315" t="s">
        <v>25</v>
      </c>
      <c r="E60" s="328" t="s">
        <v>10</v>
      </c>
      <c r="F60" s="329">
        <v>0.05</v>
      </c>
      <c r="G60" s="318">
        <f>G59*0.2*F60</f>
        <v>0.12</v>
      </c>
      <c r="H60" s="3"/>
      <c r="I60" s="69"/>
      <c r="J60" s="25">
        <f t="shared" ref="J60:J66" si="5">H60</f>
        <v>0</v>
      </c>
      <c r="K60" s="25">
        <f t="shared" ref="K60:K66" si="6">G60*H60</f>
        <v>0</v>
      </c>
      <c r="L60" s="25"/>
      <c r="M60" s="26">
        <f t="shared" ref="M60:M66" si="7">K60</f>
        <v>0</v>
      </c>
      <c r="O60" s="356"/>
    </row>
    <row r="61" spans="1:15" s="68" customFormat="1" ht="25.5" x14ac:dyDescent="0.25">
      <c r="A61" s="42">
        <f t="shared" si="4"/>
        <v>51</v>
      </c>
      <c r="B61" s="327"/>
      <c r="C61" s="314" t="s">
        <v>33</v>
      </c>
      <c r="D61" s="315" t="s">
        <v>25</v>
      </c>
      <c r="E61" s="328" t="s">
        <v>10</v>
      </c>
      <c r="F61" s="329">
        <v>10</v>
      </c>
      <c r="G61" s="318">
        <f>G59*0.2*F61</f>
        <v>23.82</v>
      </c>
      <c r="H61" s="3"/>
      <c r="I61" s="69"/>
      <c r="J61" s="25">
        <f t="shared" si="5"/>
        <v>0</v>
      </c>
      <c r="K61" s="25">
        <f t="shared" si="6"/>
        <v>0</v>
      </c>
      <c r="L61" s="25"/>
      <c r="M61" s="26">
        <f t="shared" si="7"/>
        <v>0</v>
      </c>
      <c r="O61" s="356"/>
    </row>
    <row r="62" spans="1:15" s="68" customFormat="1" ht="25.5" x14ac:dyDescent="0.25">
      <c r="A62" s="42">
        <f t="shared" si="4"/>
        <v>52</v>
      </c>
      <c r="B62" s="15"/>
      <c r="C62" s="314" t="s">
        <v>13</v>
      </c>
      <c r="D62" s="315" t="s">
        <v>25</v>
      </c>
      <c r="E62" s="316" t="s">
        <v>14</v>
      </c>
      <c r="F62" s="317">
        <v>0.1</v>
      </c>
      <c r="G62" s="318">
        <f>G59*0.2*F62</f>
        <v>0.24</v>
      </c>
      <c r="H62" s="3"/>
      <c r="I62" s="24"/>
      <c r="J62" s="25">
        <f t="shared" si="5"/>
        <v>0</v>
      </c>
      <c r="K62" s="25">
        <f t="shared" si="6"/>
        <v>0</v>
      </c>
      <c r="L62" s="25"/>
      <c r="M62" s="26">
        <f t="shared" si="7"/>
        <v>0</v>
      </c>
      <c r="O62" s="356"/>
    </row>
    <row r="63" spans="1:15" s="68" customFormat="1" ht="25.5" x14ac:dyDescent="0.25">
      <c r="A63" s="42">
        <f t="shared" si="4"/>
        <v>53</v>
      </c>
      <c r="B63" s="327"/>
      <c r="C63" s="314" t="s">
        <v>23</v>
      </c>
      <c r="D63" s="330" t="s">
        <v>25</v>
      </c>
      <c r="E63" s="328" t="s">
        <v>10</v>
      </c>
      <c r="F63" s="329">
        <v>1.7</v>
      </c>
      <c r="G63" s="318">
        <f>G59*0.2*F63</f>
        <v>4.05</v>
      </c>
      <c r="H63" s="3"/>
      <c r="I63" s="69"/>
      <c r="J63" s="25">
        <f t="shared" si="5"/>
        <v>0</v>
      </c>
      <c r="K63" s="25">
        <f t="shared" si="6"/>
        <v>0</v>
      </c>
      <c r="L63" s="25"/>
      <c r="M63" s="26">
        <f t="shared" si="7"/>
        <v>0</v>
      </c>
      <c r="O63" s="356"/>
    </row>
    <row r="64" spans="1:15" s="68" customFormat="1" ht="25.5" x14ac:dyDescent="0.25">
      <c r="A64" s="42">
        <f t="shared" si="4"/>
        <v>54</v>
      </c>
      <c r="B64" s="15"/>
      <c r="C64" s="314" t="s">
        <v>104</v>
      </c>
      <c r="D64" s="315" t="s">
        <v>25</v>
      </c>
      <c r="E64" s="316" t="s">
        <v>14</v>
      </c>
      <c r="F64" s="317">
        <v>0.3</v>
      </c>
      <c r="G64" s="318">
        <f>5.4*0.2*F64</f>
        <v>0.32</v>
      </c>
      <c r="H64" s="3"/>
      <c r="I64" s="69"/>
      <c r="J64" s="25">
        <f t="shared" si="5"/>
        <v>0</v>
      </c>
      <c r="K64" s="25">
        <f t="shared" si="6"/>
        <v>0</v>
      </c>
      <c r="L64" s="25"/>
      <c r="M64" s="26">
        <f t="shared" si="7"/>
        <v>0</v>
      </c>
      <c r="O64" s="356"/>
    </row>
    <row r="65" spans="1:15" s="68" customFormat="1" ht="25.5" x14ac:dyDescent="0.25">
      <c r="A65" s="42">
        <f t="shared" si="4"/>
        <v>55</v>
      </c>
      <c r="B65" s="15"/>
      <c r="C65" s="314" t="s">
        <v>131</v>
      </c>
      <c r="D65" s="315" t="s">
        <v>25</v>
      </c>
      <c r="E65" s="316" t="s">
        <v>10</v>
      </c>
      <c r="F65" s="317">
        <v>2.5</v>
      </c>
      <c r="G65" s="318">
        <f>5.11*0.2*F65</f>
        <v>2.56</v>
      </c>
      <c r="H65" s="3"/>
      <c r="I65" s="69"/>
      <c r="J65" s="25">
        <f t="shared" si="5"/>
        <v>0</v>
      </c>
      <c r="K65" s="25">
        <f t="shared" si="6"/>
        <v>0</v>
      </c>
      <c r="L65" s="25"/>
      <c r="M65" s="26">
        <f t="shared" si="7"/>
        <v>0</v>
      </c>
      <c r="O65" s="356"/>
    </row>
    <row r="66" spans="1:15" s="68" customFormat="1" ht="25.5" x14ac:dyDescent="0.25">
      <c r="A66" s="42">
        <f t="shared" si="4"/>
        <v>56</v>
      </c>
      <c r="B66" s="15"/>
      <c r="C66" s="314" t="s">
        <v>132</v>
      </c>
      <c r="D66" s="315" t="s">
        <v>25</v>
      </c>
      <c r="E66" s="316" t="s">
        <v>10</v>
      </c>
      <c r="F66" s="317">
        <v>2.5</v>
      </c>
      <c r="G66" s="318">
        <f>1.4*0.2*F66</f>
        <v>0.7</v>
      </c>
      <c r="H66" s="3"/>
      <c r="I66" s="69"/>
      <c r="J66" s="25">
        <f t="shared" si="5"/>
        <v>0</v>
      </c>
      <c r="K66" s="25">
        <f t="shared" si="6"/>
        <v>0</v>
      </c>
      <c r="L66" s="25"/>
      <c r="M66" s="26">
        <f t="shared" si="7"/>
        <v>0</v>
      </c>
      <c r="O66" s="356"/>
    </row>
    <row r="67" spans="1:15" s="44" customFormat="1" ht="25.5" customHeight="1" x14ac:dyDescent="0.25">
      <c r="A67" s="305">
        <f>ROW()-10</f>
        <v>57</v>
      </c>
      <c r="B67" s="306" t="s">
        <v>113</v>
      </c>
      <c r="C67" s="307" t="s">
        <v>112</v>
      </c>
      <c r="D67" s="36"/>
      <c r="E67" s="308"/>
      <c r="F67" s="309"/>
      <c r="G67" s="310"/>
      <c r="H67" s="39"/>
      <c r="I67" s="37"/>
      <c r="J67" s="28"/>
      <c r="K67" s="28"/>
      <c r="L67" s="28"/>
      <c r="M67" s="40"/>
      <c r="O67" s="355"/>
    </row>
    <row r="68" spans="1:15" s="23" customFormat="1" ht="12.75" x14ac:dyDescent="0.25">
      <c r="A68" s="43">
        <f t="shared" ref="A68:A98" si="8">ROW()-10</f>
        <v>58</v>
      </c>
      <c r="B68" s="14" t="s">
        <v>113</v>
      </c>
      <c r="C68" s="8" t="s">
        <v>16</v>
      </c>
      <c r="D68" s="5" t="s">
        <v>22</v>
      </c>
      <c r="E68" s="6" t="s">
        <v>8</v>
      </c>
      <c r="F68" s="7">
        <v>1</v>
      </c>
      <c r="G68" s="313">
        <v>80.900000000000006</v>
      </c>
      <c r="H68" s="2"/>
      <c r="I68" s="4"/>
      <c r="J68" s="21">
        <f>I68</f>
        <v>0</v>
      </c>
      <c r="K68" s="21"/>
      <c r="L68" s="21">
        <f>G68*I68</f>
        <v>0</v>
      </c>
      <c r="M68" s="22">
        <f>L68</f>
        <v>0</v>
      </c>
      <c r="O68" s="354"/>
    </row>
    <row r="69" spans="1:15" s="68" customFormat="1" ht="25.5" x14ac:dyDescent="0.25">
      <c r="A69" s="41">
        <f t="shared" si="8"/>
        <v>59</v>
      </c>
      <c r="B69" s="38" t="s">
        <v>59</v>
      </c>
      <c r="C69" s="314" t="s">
        <v>58</v>
      </c>
      <c r="D69" s="315" t="s">
        <v>25</v>
      </c>
      <c r="E69" s="316" t="s">
        <v>8</v>
      </c>
      <c r="F69" s="317">
        <v>1.07</v>
      </c>
      <c r="G69" s="318">
        <f>G68*F69</f>
        <v>86.56</v>
      </c>
      <c r="H69" s="3"/>
      <c r="I69" s="24"/>
      <c r="J69" s="25">
        <f>H69</f>
        <v>0</v>
      </c>
      <c r="K69" s="25">
        <f>G69*H69</f>
        <v>0</v>
      </c>
      <c r="L69" s="25"/>
      <c r="M69" s="26">
        <f>K69</f>
        <v>0</v>
      </c>
      <c r="O69" s="356"/>
    </row>
    <row r="70" spans="1:15" s="68" customFormat="1" ht="25.5" x14ac:dyDescent="0.25">
      <c r="A70" s="42">
        <f t="shared" si="8"/>
        <v>60</v>
      </c>
      <c r="B70" s="15"/>
      <c r="C70" s="314" t="s">
        <v>9</v>
      </c>
      <c r="D70" s="315" t="s">
        <v>25</v>
      </c>
      <c r="E70" s="316" t="s">
        <v>10</v>
      </c>
      <c r="F70" s="317">
        <v>12</v>
      </c>
      <c r="G70" s="318">
        <f>G68*F70</f>
        <v>970.8</v>
      </c>
      <c r="H70" s="3"/>
      <c r="I70" s="24"/>
      <c r="J70" s="25">
        <f>H70</f>
        <v>0</v>
      </c>
      <c r="K70" s="25">
        <f>G70*H70</f>
        <v>0</v>
      </c>
      <c r="L70" s="25"/>
      <c r="M70" s="26">
        <f>K70</f>
        <v>0</v>
      </c>
      <c r="O70" s="356"/>
    </row>
    <row r="71" spans="1:15" s="68" customFormat="1" ht="25.5" x14ac:dyDescent="0.25">
      <c r="A71" s="42">
        <f t="shared" si="8"/>
        <v>61</v>
      </c>
      <c r="B71" s="15"/>
      <c r="C71" s="314" t="s">
        <v>11</v>
      </c>
      <c r="D71" s="315" t="s">
        <v>25</v>
      </c>
      <c r="E71" s="316" t="s">
        <v>10</v>
      </c>
      <c r="F71" s="317">
        <v>0.25</v>
      </c>
      <c r="G71" s="318">
        <f>G68*F71</f>
        <v>20.23</v>
      </c>
      <c r="H71" s="3"/>
      <c r="I71" s="24"/>
      <c r="J71" s="25">
        <f>H71</f>
        <v>0</v>
      </c>
      <c r="K71" s="25">
        <f>G71*H71</f>
        <v>0</v>
      </c>
      <c r="L71" s="25"/>
      <c r="M71" s="26">
        <f>K71</f>
        <v>0</v>
      </c>
      <c r="O71" s="356"/>
    </row>
    <row r="72" spans="1:15" s="23" customFormat="1" ht="25.5" x14ac:dyDescent="0.25">
      <c r="A72" s="43">
        <f t="shared" si="8"/>
        <v>62</v>
      </c>
      <c r="B72" s="14" t="s">
        <v>113</v>
      </c>
      <c r="C72" s="8" t="s">
        <v>45</v>
      </c>
      <c r="D72" s="5" t="s">
        <v>22</v>
      </c>
      <c r="E72" s="6" t="s">
        <v>12</v>
      </c>
      <c r="F72" s="7">
        <v>1</v>
      </c>
      <c r="G72" s="313">
        <v>40.4</v>
      </c>
      <c r="H72" s="2"/>
      <c r="I72" s="4"/>
      <c r="J72" s="21">
        <f>I72</f>
        <v>0</v>
      </c>
      <c r="K72" s="21"/>
      <c r="L72" s="21">
        <f>G72*I72</f>
        <v>0</v>
      </c>
      <c r="M72" s="22">
        <f>L72</f>
        <v>0</v>
      </c>
      <c r="O72" s="354"/>
    </row>
    <row r="73" spans="1:15" s="68" customFormat="1" ht="25.5" x14ac:dyDescent="0.25">
      <c r="A73" s="42">
        <f t="shared" si="8"/>
        <v>63</v>
      </c>
      <c r="B73" s="15" t="s">
        <v>61</v>
      </c>
      <c r="C73" s="314" t="s">
        <v>60</v>
      </c>
      <c r="D73" s="315" t="s">
        <v>25</v>
      </c>
      <c r="E73" s="316" t="s">
        <v>8</v>
      </c>
      <c r="F73" s="317">
        <v>1.07</v>
      </c>
      <c r="G73" s="318">
        <f>G72*0.3*F73</f>
        <v>12.97</v>
      </c>
      <c r="H73" s="3"/>
      <c r="I73" s="24"/>
      <c r="J73" s="25">
        <f>H73</f>
        <v>0</v>
      </c>
      <c r="K73" s="25">
        <f>G73*H73</f>
        <v>0</v>
      </c>
      <c r="L73" s="25"/>
      <c r="M73" s="26">
        <f>K73</f>
        <v>0</v>
      </c>
      <c r="O73" s="356"/>
    </row>
    <row r="74" spans="1:15" s="68" customFormat="1" ht="25.5" x14ac:dyDescent="0.25">
      <c r="A74" s="42">
        <f t="shared" si="8"/>
        <v>64</v>
      </c>
      <c r="B74" s="15"/>
      <c r="C74" s="314" t="s">
        <v>9</v>
      </c>
      <c r="D74" s="315" t="s">
        <v>25</v>
      </c>
      <c r="E74" s="316" t="s">
        <v>10</v>
      </c>
      <c r="F74" s="317">
        <v>12</v>
      </c>
      <c r="G74" s="318">
        <f>G72*0.3*F74</f>
        <v>145.44</v>
      </c>
      <c r="H74" s="3"/>
      <c r="I74" s="24"/>
      <c r="J74" s="25">
        <f>H74</f>
        <v>0</v>
      </c>
      <c r="K74" s="25">
        <f>G74*H74</f>
        <v>0</v>
      </c>
      <c r="L74" s="25"/>
      <c r="M74" s="26">
        <f>K74</f>
        <v>0</v>
      </c>
      <c r="O74" s="356"/>
    </row>
    <row r="75" spans="1:15" s="68" customFormat="1" ht="25.5" x14ac:dyDescent="0.25">
      <c r="A75" s="42">
        <f t="shared" si="8"/>
        <v>65</v>
      </c>
      <c r="B75" s="15"/>
      <c r="C75" s="314" t="s">
        <v>11</v>
      </c>
      <c r="D75" s="315" t="s">
        <v>25</v>
      </c>
      <c r="E75" s="316" t="s">
        <v>10</v>
      </c>
      <c r="F75" s="317">
        <v>0.25</v>
      </c>
      <c r="G75" s="318">
        <f>G72*0.3*F75</f>
        <v>3.03</v>
      </c>
      <c r="H75" s="3"/>
      <c r="I75" s="24"/>
      <c r="J75" s="25">
        <f>H75</f>
        <v>0</v>
      </c>
      <c r="K75" s="25">
        <f>G75*H75</f>
        <v>0</v>
      </c>
      <c r="L75" s="25"/>
      <c r="M75" s="26">
        <f>K75</f>
        <v>0</v>
      </c>
      <c r="O75" s="356"/>
    </row>
    <row r="76" spans="1:15" s="68" customFormat="1" ht="25.5" x14ac:dyDescent="0.25">
      <c r="A76" s="42">
        <f t="shared" si="8"/>
        <v>66</v>
      </c>
      <c r="B76" s="15"/>
      <c r="C76" s="314" t="s">
        <v>46</v>
      </c>
      <c r="D76" s="315" t="s">
        <v>25</v>
      </c>
      <c r="E76" s="316" t="s">
        <v>12</v>
      </c>
      <c r="F76" s="317">
        <v>1.1000000000000001</v>
      </c>
      <c r="G76" s="318">
        <f>G72*F76</f>
        <v>44.44</v>
      </c>
      <c r="H76" s="3"/>
      <c r="I76" s="24"/>
      <c r="J76" s="25">
        <f>H76</f>
        <v>0</v>
      </c>
      <c r="K76" s="25">
        <f>G76*H76</f>
        <v>0</v>
      </c>
      <c r="L76" s="25"/>
      <c r="M76" s="26">
        <f>K76</f>
        <v>0</v>
      </c>
      <c r="O76" s="356"/>
    </row>
    <row r="77" spans="1:15" s="23" customFormat="1" ht="25.5" x14ac:dyDescent="0.25">
      <c r="A77" s="43">
        <f t="shared" si="8"/>
        <v>67</v>
      </c>
      <c r="B77" s="14" t="s">
        <v>113</v>
      </c>
      <c r="C77" s="8" t="s">
        <v>114</v>
      </c>
      <c r="D77" s="5" t="s">
        <v>22</v>
      </c>
      <c r="E77" s="6" t="s">
        <v>8</v>
      </c>
      <c r="F77" s="7">
        <v>1</v>
      </c>
      <c r="G77" s="313">
        <f>8+2.7</f>
        <v>10.7</v>
      </c>
      <c r="H77" s="2"/>
      <c r="I77" s="4"/>
      <c r="J77" s="21">
        <f>I77</f>
        <v>0</v>
      </c>
      <c r="K77" s="21"/>
      <c r="L77" s="21">
        <f>G77*I77</f>
        <v>0</v>
      </c>
      <c r="M77" s="22">
        <f>L77</f>
        <v>0</v>
      </c>
      <c r="O77" s="354"/>
    </row>
    <row r="78" spans="1:15" s="68" customFormat="1" ht="25.5" x14ac:dyDescent="0.25">
      <c r="A78" s="41">
        <f t="shared" si="8"/>
        <v>68</v>
      </c>
      <c r="B78" s="38" t="s">
        <v>64</v>
      </c>
      <c r="C78" s="314" t="s">
        <v>63</v>
      </c>
      <c r="D78" s="315" t="s">
        <v>25</v>
      </c>
      <c r="E78" s="316" t="s">
        <v>8</v>
      </c>
      <c r="F78" s="317">
        <v>1.07</v>
      </c>
      <c r="G78" s="318">
        <f>G77*F78</f>
        <v>11.45</v>
      </c>
      <c r="H78" s="3"/>
      <c r="I78" s="24"/>
      <c r="J78" s="25">
        <f>H78</f>
        <v>0</v>
      </c>
      <c r="K78" s="25">
        <f>G78*H78</f>
        <v>0</v>
      </c>
      <c r="L78" s="25"/>
      <c r="M78" s="26">
        <f>K78</f>
        <v>0</v>
      </c>
      <c r="O78" s="356"/>
    </row>
    <row r="79" spans="1:15" s="68" customFormat="1" ht="25.5" x14ac:dyDescent="0.25">
      <c r="A79" s="42">
        <f t="shared" si="8"/>
        <v>69</v>
      </c>
      <c r="B79" s="15"/>
      <c r="C79" s="314" t="s">
        <v>9</v>
      </c>
      <c r="D79" s="315" t="s">
        <v>25</v>
      </c>
      <c r="E79" s="316" t="s">
        <v>10</v>
      </c>
      <c r="F79" s="317">
        <v>12</v>
      </c>
      <c r="G79" s="318">
        <f>G77*F79</f>
        <v>128.4</v>
      </c>
      <c r="H79" s="3"/>
      <c r="I79" s="24"/>
      <c r="J79" s="25">
        <f>H79</f>
        <v>0</v>
      </c>
      <c r="K79" s="25">
        <f>G79*H79</f>
        <v>0</v>
      </c>
      <c r="L79" s="25"/>
      <c r="M79" s="26">
        <f>K79</f>
        <v>0</v>
      </c>
      <c r="O79" s="356"/>
    </row>
    <row r="80" spans="1:15" s="68" customFormat="1" ht="25.5" x14ac:dyDescent="0.25">
      <c r="A80" s="42">
        <f t="shared" si="8"/>
        <v>70</v>
      </c>
      <c r="B80" s="15"/>
      <c r="C80" s="314" t="s">
        <v>11</v>
      </c>
      <c r="D80" s="315" t="s">
        <v>25</v>
      </c>
      <c r="E80" s="316" t="s">
        <v>10</v>
      </c>
      <c r="F80" s="317">
        <v>0.25</v>
      </c>
      <c r="G80" s="318">
        <f>G77*F80</f>
        <v>2.68</v>
      </c>
      <c r="H80" s="3"/>
      <c r="I80" s="24"/>
      <c r="J80" s="25">
        <f>H80</f>
        <v>0</v>
      </c>
      <c r="K80" s="25">
        <f>G80*H80</f>
        <v>0</v>
      </c>
      <c r="L80" s="25"/>
      <c r="M80" s="26">
        <f>K80</f>
        <v>0</v>
      </c>
      <c r="O80" s="356"/>
    </row>
    <row r="81" spans="1:15" s="23" customFormat="1" ht="25.5" x14ac:dyDescent="0.25">
      <c r="A81" s="43">
        <f t="shared" si="8"/>
        <v>71</v>
      </c>
      <c r="B81" s="14" t="s">
        <v>113</v>
      </c>
      <c r="C81" s="8" t="s">
        <v>116</v>
      </c>
      <c r="D81" s="5" t="s">
        <v>22</v>
      </c>
      <c r="E81" s="6" t="s">
        <v>8</v>
      </c>
      <c r="F81" s="7">
        <v>1</v>
      </c>
      <c r="G81" s="313">
        <f>7.3+5.33</f>
        <v>12.63</v>
      </c>
      <c r="H81" s="2"/>
      <c r="I81" s="4"/>
      <c r="J81" s="21">
        <f>I81</f>
        <v>0</v>
      </c>
      <c r="K81" s="21"/>
      <c r="L81" s="21">
        <f>G81*I81</f>
        <v>0</v>
      </c>
      <c r="M81" s="22">
        <f>L81</f>
        <v>0</v>
      </c>
      <c r="O81" s="354"/>
    </row>
    <row r="82" spans="1:15" s="68" customFormat="1" ht="25.5" x14ac:dyDescent="0.25">
      <c r="A82" s="42">
        <f t="shared" si="8"/>
        <v>72</v>
      </c>
      <c r="B82" s="38" t="s">
        <v>68</v>
      </c>
      <c r="C82" s="314" t="s">
        <v>67</v>
      </c>
      <c r="D82" s="315" t="s">
        <v>25</v>
      </c>
      <c r="E82" s="316" t="s">
        <v>8</v>
      </c>
      <c r="F82" s="317">
        <v>1.07</v>
      </c>
      <c r="G82" s="318">
        <f>G81*F82</f>
        <v>13.51</v>
      </c>
      <c r="H82" s="3"/>
      <c r="I82" s="24"/>
      <c r="J82" s="25">
        <f>H82</f>
        <v>0</v>
      </c>
      <c r="K82" s="25">
        <f>G82*H82</f>
        <v>0</v>
      </c>
      <c r="L82" s="25"/>
      <c r="M82" s="26">
        <f>K82</f>
        <v>0</v>
      </c>
      <c r="O82" s="356"/>
    </row>
    <row r="83" spans="1:15" s="68" customFormat="1" ht="25.5" x14ac:dyDescent="0.25">
      <c r="A83" s="42">
        <f t="shared" si="8"/>
        <v>73</v>
      </c>
      <c r="B83" s="15"/>
      <c r="C83" s="314" t="s">
        <v>9</v>
      </c>
      <c r="D83" s="315" t="s">
        <v>25</v>
      </c>
      <c r="E83" s="316" t="s">
        <v>10</v>
      </c>
      <c r="F83" s="317">
        <v>12</v>
      </c>
      <c r="G83" s="318">
        <f>G81*F83</f>
        <v>151.56</v>
      </c>
      <c r="H83" s="3"/>
      <c r="I83" s="24"/>
      <c r="J83" s="25">
        <f>H83</f>
        <v>0</v>
      </c>
      <c r="K83" s="25">
        <f>G83*H83</f>
        <v>0</v>
      </c>
      <c r="L83" s="25"/>
      <c r="M83" s="26">
        <f>K83</f>
        <v>0</v>
      </c>
      <c r="O83" s="356"/>
    </row>
    <row r="84" spans="1:15" s="68" customFormat="1" ht="25.5" x14ac:dyDescent="0.25">
      <c r="A84" s="42">
        <f t="shared" si="8"/>
        <v>74</v>
      </c>
      <c r="B84" s="15"/>
      <c r="C84" s="314" t="s">
        <v>11</v>
      </c>
      <c r="D84" s="315" t="s">
        <v>25</v>
      </c>
      <c r="E84" s="316" t="s">
        <v>10</v>
      </c>
      <c r="F84" s="317">
        <v>0.25</v>
      </c>
      <c r="G84" s="318">
        <f>G81*F84</f>
        <v>3.16</v>
      </c>
      <c r="H84" s="3"/>
      <c r="I84" s="24"/>
      <c r="J84" s="25">
        <f>H84</f>
        <v>0</v>
      </c>
      <c r="K84" s="25">
        <f>G84*H84</f>
        <v>0</v>
      </c>
      <c r="L84" s="25"/>
      <c r="M84" s="26">
        <f>K84</f>
        <v>0</v>
      </c>
      <c r="O84" s="356"/>
    </row>
    <row r="85" spans="1:15" s="23" customFormat="1" ht="25.5" x14ac:dyDescent="0.25">
      <c r="A85" s="43">
        <f t="shared" si="8"/>
        <v>75</v>
      </c>
      <c r="B85" s="14" t="s">
        <v>113</v>
      </c>
      <c r="C85" s="8" t="s">
        <v>115</v>
      </c>
      <c r="D85" s="5" t="s">
        <v>22</v>
      </c>
      <c r="E85" s="6" t="s">
        <v>8</v>
      </c>
      <c r="F85" s="7">
        <v>1</v>
      </c>
      <c r="G85" s="313">
        <f>4+3.08</f>
        <v>7.08</v>
      </c>
      <c r="H85" s="2"/>
      <c r="I85" s="4"/>
      <c r="J85" s="21">
        <f>I85</f>
        <v>0</v>
      </c>
      <c r="K85" s="21"/>
      <c r="L85" s="21">
        <f>G85*I85</f>
        <v>0</v>
      </c>
      <c r="M85" s="22">
        <f>L85</f>
        <v>0</v>
      </c>
      <c r="O85" s="354"/>
    </row>
    <row r="86" spans="1:15" s="68" customFormat="1" ht="25.5" x14ac:dyDescent="0.25">
      <c r="A86" s="42">
        <f t="shared" si="8"/>
        <v>76</v>
      </c>
      <c r="B86" s="38" t="s">
        <v>69</v>
      </c>
      <c r="C86" s="314" t="s">
        <v>67</v>
      </c>
      <c r="D86" s="315" t="s">
        <v>25</v>
      </c>
      <c r="E86" s="316" t="s">
        <v>8</v>
      </c>
      <c r="F86" s="317">
        <v>1.07</v>
      </c>
      <c r="G86" s="318">
        <f>G85*F86</f>
        <v>7.58</v>
      </c>
      <c r="H86" s="3"/>
      <c r="I86" s="24"/>
      <c r="J86" s="25">
        <f>H86</f>
        <v>0</v>
      </c>
      <c r="K86" s="25">
        <f>G86*H86</f>
        <v>0</v>
      </c>
      <c r="L86" s="25"/>
      <c r="M86" s="26">
        <f>K86</f>
        <v>0</v>
      </c>
      <c r="O86" s="356"/>
    </row>
    <row r="87" spans="1:15" s="68" customFormat="1" ht="25.5" x14ac:dyDescent="0.25">
      <c r="A87" s="42">
        <f t="shared" si="8"/>
        <v>77</v>
      </c>
      <c r="B87" s="15"/>
      <c r="C87" s="314" t="s">
        <v>9</v>
      </c>
      <c r="D87" s="315" t="s">
        <v>25</v>
      </c>
      <c r="E87" s="316" t="s">
        <v>10</v>
      </c>
      <c r="F87" s="317">
        <v>12</v>
      </c>
      <c r="G87" s="318">
        <f>G85*F87</f>
        <v>84.96</v>
      </c>
      <c r="H87" s="3"/>
      <c r="I87" s="24"/>
      <c r="J87" s="25">
        <f>H87</f>
        <v>0</v>
      </c>
      <c r="K87" s="25">
        <f>G87*H87</f>
        <v>0</v>
      </c>
      <c r="L87" s="25"/>
      <c r="M87" s="26">
        <f>K87</f>
        <v>0</v>
      </c>
      <c r="O87" s="356"/>
    </row>
    <row r="88" spans="1:15" s="68" customFormat="1" ht="25.5" x14ac:dyDescent="0.25">
      <c r="A88" s="42">
        <f t="shared" si="8"/>
        <v>78</v>
      </c>
      <c r="B88" s="15"/>
      <c r="C88" s="314" t="s">
        <v>11</v>
      </c>
      <c r="D88" s="315" t="s">
        <v>25</v>
      </c>
      <c r="E88" s="316" t="s">
        <v>10</v>
      </c>
      <c r="F88" s="317">
        <v>0.25</v>
      </c>
      <c r="G88" s="318">
        <f>G85*F88</f>
        <v>1.77</v>
      </c>
      <c r="H88" s="3"/>
      <c r="I88" s="24"/>
      <c r="J88" s="25">
        <f>H88</f>
        <v>0</v>
      </c>
      <c r="K88" s="25">
        <f>G88*H88</f>
        <v>0</v>
      </c>
      <c r="L88" s="25"/>
      <c r="M88" s="26">
        <f>K88</f>
        <v>0</v>
      </c>
      <c r="O88" s="356"/>
    </row>
    <row r="89" spans="1:15" s="23" customFormat="1" ht="25.5" x14ac:dyDescent="0.25">
      <c r="A89" s="43">
        <f t="shared" si="8"/>
        <v>79</v>
      </c>
      <c r="B89" s="14" t="s">
        <v>113</v>
      </c>
      <c r="C89" s="8" t="s">
        <v>17</v>
      </c>
      <c r="D89" s="5" t="s">
        <v>22</v>
      </c>
      <c r="E89" s="6" t="s">
        <v>12</v>
      </c>
      <c r="F89" s="7">
        <v>1</v>
      </c>
      <c r="G89" s="313">
        <v>26.3</v>
      </c>
      <c r="H89" s="2"/>
      <c r="I89" s="4"/>
      <c r="J89" s="21">
        <f>I89</f>
        <v>0</v>
      </c>
      <c r="K89" s="21"/>
      <c r="L89" s="21">
        <f>G89*I89</f>
        <v>0</v>
      </c>
      <c r="M89" s="22">
        <f>L89</f>
        <v>0</v>
      </c>
      <c r="O89" s="354"/>
    </row>
    <row r="90" spans="1:15" s="68" customFormat="1" ht="25.5" x14ac:dyDescent="0.25">
      <c r="A90" s="42">
        <f t="shared" si="8"/>
        <v>80</v>
      </c>
      <c r="B90" s="15" t="s">
        <v>65</v>
      </c>
      <c r="C90" s="314" t="s">
        <v>66</v>
      </c>
      <c r="D90" s="315" t="s">
        <v>25</v>
      </c>
      <c r="E90" s="316" t="s">
        <v>8</v>
      </c>
      <c r="F90" s="317">
        <v>1.07</v>
      </c>
      <c r="G90" s="318">
        <f>G89*0.1*F90</f>
        <v>2.81</v>
      </c>
      <c r="H90" s="3"/>
      <c r="I90" s="24"/>
      <c r="J90" s="25">
        <f>H90</f>
        <v>0</v>
      </c>
      <c r="K90" s="25">
        <f>G90*H90</f>
        <v>0</v>
      </c>
      <c r="L90" s="25"/>
      <c r="M90" s="26">
        <f>K90</f>
        <v>0</v>
      </c>
      <c r="O90" s="356"/>
    </row>
    <row r="91" spans="1:15" s="68" customFormat="1" ht="25.5" x14ac:dyDescent="0.25">
      <c r="A91" s="42">
        <f t="shared" si="8"/>
        <v>81</v>
      </c>
      <c r="B91" s="15"/>
      <c r="C91" s="314" t="s">
        <v>9</v>
      </c>
      <c r="D91" s="315" t="s">
        <v>25</v>
      </c>
      <c r="E91" s="316" t="s">
        <v>10</v>
      </c>
      <c r="F91" s="317">
        <v>12</v>
      </c>
      <c r="G91" s="318">
        <f>G89*0.1*F91</f>
        <v>31.56</v>
      </c>
      <c r="H91" s="3"/>
      <c r="I91" s="24"/>
      <c r="J91" s="25">
        <f>H91</f>
        <v>0</v>
      </c>
      <c r="K91" s="25">
        <f>G91*H91</f>
        <v>0</v>
      </c>
      <c r="L91" s="25"/>
      <c r="M91" s="26">
        <f>K91</f>
        <v>0</v>
      </c>
      <c r="O91" s="356"/>
    </row>
    <row r="92" spans="1:15" s="68" customFormat="1" ht="25.5" x14ac:dyDescent="0.25">
      <c r="A92" s="42">
        <f t="shared" si="8"/>
        <v>82</v>
      </c>
      <c r="B92" s="15"/>
      <c r="C92" s="314" t="s">
        <v>11</v>
      </c>
      <c r="D92" s="315" t="s">
        <v>25</v>
      </c>
      <c r="E92" s="316" t="s">
        <v>10</v>
      </c>
      <c r="F92" s="317">
        <v>0.25</v>
      </c>
      <c r="G92" s="318">
        <f>G89*0.1*F92</f>
        <v>0.66</v>
      </c>
      <c r="H92" s="3"/>
      <c r="I92" s="24"/>
      <c r="J92" s="25">
        <f>H92</f>
        <v>0</v>
      </c>
      <c r="K92" s="25">
        <f>G92*H92</f>
        <v>0</v>
      </c>
      <c r="L92" s="25"/>
      <c r="M92" s="26">
        <f>K92</f>
        <v>0</v>
      </c>
      <c r="O92" s="356"/>
    </row>
    <row r="93" spans="1:15" s="68" customFormat="1" ht="25.5" x14ac:dyDescent="0.25">
      <c r="A93" s="42">
        <f t="shared" si="8"/>
        <v>83</v>
      </c>
      <c r="B93" s="15"/>
      <c r="C93" s="314" t="s">
        <v>46</v>
      </c>
      <c r="D93" s="315" t="s">
        <v>25</v>
      </c>
      <c r="E93" s="316" t="s">
        <v>12</v>
      </c>
      <c r="F93" s="317">
        <v>1.1000000000000001</v>
      </c>
      <c r="G93" s="318">
        <f>G89*F93</f>
        <v>28.93</v>
      </c>
      <c r="H93" s="3"/>
      <c r="I93" s="24"/>
      <c r="J93" s="25">
        <f>H93</f>
        <v>0</v>
      </c>
      <c r="K93" s="25">
        <f>G93*H93</f>
        <v>0</v>
      </c>
      <c r="L93" s="25"/>
      <c r="M93" s="26">
        <f>K93</f>
        <v>0</v>
      </c>
      <c r="O93" s="356"/>
    </row>
    <row r="94" spans="1:15" s="23" customFormat="1" ht="12.75" x14ac:dyDescent="0.25">
      <c r="A94" s="43">
        <f t="shared" si="8"/>
        <v>84</v>
      </c>
      <c r="B94" s="14" t="s">
        <v>113</v>
      </c>
      <c r="C94" s="8" t="s">
        <v>47</v>
      </c>
      <c r="D94" s="5" t="s">
        <v>22</v>
      </c>
      <c r="E94" s="6" t="s">
        <v>8</v>
      </c>
      <c r="F94" s="7">
        <v>1</v>
      </c>
      <c r="G94" s="313">
        <f>G95</f>
        <v>13</v>
      </c>
      <c r="H94" s="2"/>
      <c r="I94" s="4"/>
      <c r="J94" s="21">
        <f>I94</f>
        <v>0</v>
      </c>
      <c r="K94" s="21"/>
      <c r="L94" s="21">
        <f>G94*I94</f>
        <v>0</v>
      </c>
      <c r="M94" s="22">
        <f>L94</f>
        <v>0</v>
      </c>
      <c r="O94" s="354"/>
    </row>
    <row r="95" spans="1:15" s="68" customFormat="1" ht="25.5" x14ac:dyDescent="0.25">
      <c r="A95" s="42">
        <f t="shared" si="8"/>
        <v>85</v>
      </c>
      <c r="B95" s="15" t="s">
        <v>73</v>
      </c>
      <c r="C95" s="331" t="s">
        <v>70</v>
      </c>
      <c r="D95" s="315" t="s">
        <v>25</v>
      </c>
      <c r="E95" s="316" t="s">
        <v>8</v>
      </c>
      <c r="F95" s="317">
        <v>1</v>
      </c>
      <c r="G95" s="318">
        <f>9+4</f>
        <v>13</v>
      </c>
      <c r="H95" s="30"/>
      <c r="I95" s="24"/>
      <c r="J95" s="25">
        <f>H95</f>
        <v>0</v>
      </c>
      <c r="K95" s="25">
        <f>G95*H95</f>
        <v>0</v>
      </c>
      <c r="L95" s="25"/>
      <c r="M95" s="26">
        <f>K95</f>
        <v>0</v>
      </c>
      <c r="O95" s="356"/>
    </row>
    <row r="96" spans="1:15" s="68" customFormat="1" ht="25.5" x14ac:dyDescent="0.25">
      <c r="A96" s="42">
        <f t="shared" si="8"/>
        <v>86</v>
      </c>
      <c r="B96" s="15" t="s">
        <v>74</v>
      </c>
      <c r="C96" s="331" t="s">
        <v>71</v>
      </c>
      <c r="D96" s="315" t="s">
        <v>25</v>
      </c>
      <c r="E96" s="316" t="s">
        <v>24</v>
      </c>
      <c r="F96" s="317">
        <v>1.1000000000000001</v>
      </c>
      <c r="G96" s="318">
        <f>21.8*F96</f>
        <v>23.98</v>
      </c>
      <c r="H96" s="30"/>
      <c r="I96" s="24"/>
      <c r="J96" s="25">
        <f>H96</f>
        <v>0</v>
      </c>
      <c r="K96" s="25">
        <f>G96*H96</f>
        <v>0</v>
      </c>
      <c r="L96" s="25"/>
      <c r="M96" s="26">
        <f>K96</f>
        <v>0</v>
      </c>
      <c r="O96" s="356"/>
    </row>
    <row r="97" spans="1:15" s="23" customFormat="1" ht="12.75" x14ac:dyDescent="0.25">
      <c r="A97" s="43">
        <f t="shared" si="8"/>
        <v>87</v>
      </c>
      <c r="B97" s="14" t="s">
        <v>113</v>
      </c>
      <c r="C97" s="8" t="s">
        <v>48</v>
      </c>
      <c r="D97" s="5" t="s">
        <v>22</v>
      </c>
      <c r="E97" s="6" t="s">
        <v>8</v>
      </c>
      <c r="F97" s="7">
        <v>1</v>
      </c>
      <c r="G97" s="313">
        <f>G98</f>
        <v>5.7</v>
      </c>
      <c r="H97" s="2"/>
      <c r="I97" s="4"/>
      <c r="J97" s="21">
        <f>I97</f>
        <v>0</v>
      </c>
      <c r="K97" s="21"/>
      <c r="L97" s="21">
        <f>G97*I97</f>
        <v>0</v>
      </c>
      <c r="M97" s="22">
        <f>L97</f>
        <v>0</v>
      </c>
      <c r="O97" s="354"/>
    </row>
    <row r="98" spans="1:15" s="68" customFormat="1" ht="25.5" x14ac:dyDescent="0.2">
      <c r="A98" s="42">
        <f t="shared" si="8"/>
        <v>88</v>
      </c>
      <c r="B98" s="15" t="s">
        <v>83</v>
      </c>
      <c r="C98" s="332" t="s">
        <v>72</v>
      </c>
      <c r="D98" s="315" t="s">
        <v>25</v>
      </c>
      <c r="E98" s="316" t="s">
        <v>8</v>
      </c>
      <c r="F98" s="317">
        <v>1</v>
      </c>
      <c r="G98" s="318">
        <v>5.7</v>
      </c>
      <c r="H98" s="30"/>
      <c r="I98" s="24"/>
      <c r="J98" s="25">
        <f>H98</f>
        <v>0</v>
      </c>
      <c r="K98" s="25">
        <f>G98*H98</f>
        <v>0</v>
      </c>
      <c r="L98" s="25"/>
      <c r="M98" s="26">
        <f>K98</f>
        <v>0</v>
      </c>
      <c r="O98" s="356"/>
    </row>
    <row r="99" spans="1:15" s="23" customFormat="1" ht="12.75" x14ac:dyDescent="0.25">
      <c r="A99" s="297">
        <f>ROW()-10</f>
        <v>89</v>
      </c>
      <c r="B99" s="298" t="s">
        <v>84</v>
      </c>
      <c r="C99" s="299" t="s">
        <v>124</v>
      </c>
      <c r="D99" s="48"/>
      <c r="E99" s="300"/>
      <c r="F99" s="301"/>
      <c r="G99" s="302"/>
      <c r="H99" s="49"/>
      <c r="I99" s="50"/>
      <c r="J99" s="51"/>
      <c r="K99" s="51"/>
      <c r="L99" s="51"/>
      <c r="M99" s="52"/>
      <c r="O99" s="354"/>
    </row>
    <row r="100" spans="1:15" s="44" customFormat="1" ht="25.5" customHeight="1" x14ac:dyDescent="0.25">
      <c r="A100" s="305">
        <f>ROW()-10</f>
        <v>90</v>
      </c>
      <c r="B100" s="306" t="s">
        <v>87</v>
      </c>
      <c r="C100" s="307" t="s">
        <v>88</v>
      </c>
      <c r="D100" s="36"/>
      <c r="E100" s="308"/>
      <c r="F100" s="309"/>
      <c r="G100" s="310"/>
      <c r="H100" s="39"/>
      <c r="I100" s="37"/>
      <c r="J100" s="28"/>
      <c r="K100" s="28"/>
      <c r="L100" s="28"/>
      <c r="M100" s="40"/>
      <c r="O100" s="355"/>
    </row>
    <row r="101" spans="1:15" s="23" customFormat="1" ht="12.75" x14ac:dyDescent="0.25">
      <c r="A101" s="43">
        <f t="shared" ref="A101:A108" si="9">ROW()-10</f>
        <v>91</v>
      </c>
      <c r="B101" s="14" t="s">
        <v>99</v>
      </c>
      <c r="C101" s="55" t="s">
        <v>100</v>
      </c>
      <c r="D101" s="5" t="s">
        <v>22</v>
      </c>
      <c r="E101" s="6" t="s">
        <v>8</v>
      </c>
      <c r="F101" s="7">
        <v>1</v>
      </c>
      <c r="G101" s="313">
        <f>(68.3+14)*15</f>
        <v>1234.5</v>
      </c>
      <c r="H101" s="2"/>
      <c r="I101" s="4"/>
      <c r="J101" s="21">
        <f>I101</f>
        <v>0</v>
      </c>
      <c r="K101" s="21"/>
      <c r="L101" s="21">
        <f>G101*I101</f>
        <v>0</v>
      </c>
      <c r="M101" s="22">
        <f>L101</f>
        <v>0</v>
      </c>
      <c r="O101" s="354"/>
    </row>
    <row r="102" spans="1:15" s="68" customFormat="1" ht="25.5" x14ac:dyDescent="0.25">
      <c r="A102" s="42">
        <f t="shared" si="9"/>
        <v>92</v>
      </c>
      <c r="B102" s="15"/>
      <c r="C102" s="326" t="s">
        <v>13</v>
      </c>
      <c r="D102" s="315" t="s">
        <v>25</v>
      </c>
      <c r="E102" s="316" t="s">
        <v>14</v>
      </c>
      <c r="F102" s="317">
        <v>0.1</v>
      </c>
      <c r="G102" s="318">
        <f>G101*F102</f>
        <v>123.45</v>
      </c>
      <c r="H102" s="3"/>
      <c r="I102" s="24"/>
      <c r="J102" s="25">
        <f>H102</f>
        <v>0</v>
      </c>
      <c r="K102" s="25">
        <f>G102*H102</f>
        <v>0</v>
      </c>
      <c r="L102" s="25"/>
      <c r="M102" s="26">
        <f>K102</f>
        <v>0</v>
      </c>
      <c r="O102" s="356"/>
    </row>
    <row r="103" spans="1:15" s="68" customFormat="1" ht="25.5" x14ac:dyDescent="0.25">
      <c r="A103" s="42">
        <f t="shared" si="9"/>
        <v>93</v>
      </c>
      <c r="B103" s="15"/>
      <c r="C103" s="326" t="s">
        <v>101</v>
      </c>
      <c r="D103" s="315" t="s">
        <v>25</v>
      </c>
      <c r="E103" s="316" t="s">
        <v>10</v>
      </c>
      <c r="F103" s="317">
        <v>1.2</v>
      </c>
      <c r="G103" s="318">
        <f>G101*F103</f>
        <v>1481.4</v>
      </c>
      <c r="H103" s="3"/>
      <c r="I103" s="24"/>
      <c r="J103" s="25">
        <f>H103</f>
        <v>0</v>
      </c>
      <c r="K103" s="25">
        <f>G103*H103</f>
        <v>0</v>
      </c>
      <c r="L103" s="25"/>
      <c r="M103" s="26">
        <f>K103</f>
        <v>0</v>
      </c>
      <c r="O103" s="356"/>
    </row>
    <row r="104" spans="1:15" s="68" customFormat="1" ht="25.5" x14ac:dyDescent="0.25">
      <c r="A104" s="42">
        <f t="shared" si="9"/>
        <v>94</v>
      </c>
      <c r="B104" s="15"/>
      <c r="C104" s="314" t="s">
        <v>23</v>
      </c>
      <c r="D104" s="315" t="s">
        <v>25</v>
      </c>
      <c r="E104" s="316" t="s">
        <v>10</v>
      </c>
      <c r="F104" s="317">
        <v>1.7</v>
      </c>
      <c r="G104" s="318">
        <f>G101*F104</f>
        <v>2098.65</v>
      </c>
      <c r="H104" s="3"/>
      <c r="I104" s="24"/>
      <c r="J104" s="25">
        <f>H104</f>
        <v>0</v>
      </c>
      <c r="K104" s="25">
        <f>G104*H104</f>
        <v>0</v>
      </c>
      <c r="L104" s="25"/>
      <c r="M104" s="26">
        <f>K104</f>
        <v>0</v>
      </c>
      <c r="O104" s="356"/>
    </row>
    <row r="105" spans="1:15" s="23" customFormat="1" ht="38.25" x14ac:dyDescent="0.25">
      <c r="A105" s="43">
        <f t="shared" si="9"/>
        <v>95</v>
      </c>
      <c r="B105" s="14" t="s">
        <v>102</v>
      </c>
      <c r="C105" s="8" t="s">
        <v>103</v>
      </c>
      <c r="D105" s="5" t="s">
        <v>22</v>
      </c>
      <c r="E105" s="6" t="s">
        <v>8</v>
      </c>
      <c r="F105" s="7">
        <v>1</v>
      </c>
      <c r="G105" s="313">
        <f>G101</f>
        <v>1234.5</v>
      </c>
      <c r="H105" s="2"/>
      <c r="I105" s="4"/>
      <c r="J105" s="21">
        <f>I105</f>
        <v>0</v>
      </c>
      <c r="K105" s="21"/>
      <c r="L105" s="21">
        <f>G105*I105</f>
        <v>0</v>
      </c>
      <c r="M105" s="22">
        <f>L105</f>
        <v>0</v>
      </c>
      <c r="O105" s="354"/>
    </row>
    <row r="106" spans="1:15" s="68" customFormat="1" ht="25.5" x14ac:dyDescent="0.25">
      <c r="A106" s="42">
        <f t="shared" si="9"/>
        <v>96</v>
      </c>
      <c r="B106" s="15"/>
      <c r="C106" s="314" t="s">
        <v>13</v>
      </c>
      <c r="D106" s="315" t="s">
        <v>25</v>
      </c>
      <c r="E106" s="316" t="s">
        <v>14</v>
      </c>
      <c r="F106" s="317">
        <v>0.1</v>
      </c>
      <c r="G106" s="318">
        <f>G105*F106</f>
        <v>123.45</v>
      </c>
      <c r="H106" s="3"/>
      <c r="I106" s="24"/>
      <c r="J106" s="25">
        <f>H106</f>
        <v>0</v>
      </c>
      <c r="K106" s="25">
        <f>G106*H106</f>
        <v>0</v>
      </c>
      <c r="L106" s="25"/>
      <c r="M106" s="26">
        <f>K106</f>
        <v>0</v>
      </c>
      <c r="O106" s="356"/>
    </row>
    <row r="107" spans="1:15" s="68" customFormat="1" ht="25.5" x14ac:dyDescent="0.25">
      <c r="A107" s="42">
        <f t="shared" si="9"/>
        <v>97</v>
      </c>
      <c r="B107" s="38"/>
      <c r="C107" s="314" t="s">
        <v>118</v>
      </c>
      <c r="D107" s="315" t="s">
        <v>25</v>
      </c>
      <c r="E107" s="316" t="s">
        <v>14</v>
      </c>
      <c r="F107" s="317">
        <v>0.3</v>
      </c>
      <c r="G107" s="318">
        <f>68.3*15*F107</f>
        <v>307.35000000000002</v>
      </c>
      <c r="H107" s="3"/>
      <c r="I107" s="24"/>
      <c r="J107" s="25">
        <f>H107</f>
        <v>0</v>
      </c>
      <c r="K107" s="25">
        <f>G107*H107</f>
        <v>0</v>
      </c>
      <c r="L107" s="25"/>
      <c r="M107" s="26">
        <f>K107</f>
        <v>0</v>
      </c>
      <c r="O107" s="356"/>
    </row>
    <row r="108" spans="1:15" s="68" customFormat="1" ht="25.5" x14ac:dyDescent="0.25">
      <c r="A108" s="42">
        <f t="shared" si="9"/>
        <v>98</v>
      </c>
      <c r="B108" s="38"/>
      <c r="C108" s="314" t="s">
        <v>122</v>
      </c>
      <c r="D108" s="315" t="s">
        <v>25</v>
      </c>
      <c r="E108" s="316" t="s">
        <v>14</v>
      </c>
      <c r="F108" s="317">
        <v>0.3</v>
      </c>
      <c r="G108" s="318">
        <f>14*15*F108</f>
        <v>63</v>
      </c>
      <c r="H108" s="3"/>
      <c r="I108" s="24"/>
      <c r="J108" s="25">
        <f>H108</f>
        <v>0</v>
      </c>
      <c r="K108" s="25">
        <f>G108*H108</f>
        <v>0</v>
      </c>
      <c r="L108" s="25"/>
      <c r="M108" s="26">
        <f>K108</f>
        <v>0</v>
      </c>
      <c r="O108" s="356"/>
    </row>
    <row r="109" spans="1:15" s="44" customFormat="1" ht="25.5" customHeight="1" x14ac:dyDescent="0.25">
      <c r="A109" s="256">
        <f>ROW()-10</f>
        <v>99</v>
      </c>
      <c r="B109" s="306" t="s">
        <v>110</v>
      </c>
      <c r="C109" s="307" t="s">
        <v>109</v>
      </c>
      <c r="D109" s="36"/>
      <c r="E109" s="308"/>
      <c r="F109" s="309"/>
      <c r="G109" s="310"/>
      <c r="H109" s="39"/>
      <c r="I109" s="37"/>
      <c r="J109" s="28"/>
      <c r="K109" s="28"/>
      <c r="L109" s="28"/>
      <c r="M109" s="40"/>
      <c r="O109" s="355"/>
    </row>
    <row r="110" spans="1:15" s="27" customFormat="1" ht="12.75" x14ac:dyDescent="0.25">
      <c r="A110" s="43">
        <f t="shared" ref="A110:A129" si="10">ROW()-10</f>
        <v>100</v>
      </c>
      <c r="B110" s="14" t="s">
        <v>110</v>
      </c>
      <c r="C110" s="55" t="s">
        <v>21</v>
      </c>
      <c r="D110" s="5" t="s">
        <v>22</v>
      </c>
      <c r="E110" s="6" t="s">
        <v>8</v>
      </c>
      <c r="F110" s="7">
        <v>1</v>
      </c>
      <c r="G110" s="18">
        <f>207.09*15</f>
        <v>3106.35</v>
      </c>
      <c r="H110" s="2"/>
      <c r="I110" s="4"/>
      <c r="J110" s="21">
        <f>I110</f>
        <v>0</v>
      </c>
      <c r="K110" s="21"/>
      <c r="L110" s="21">
        <f>G110*I110</f>
        <v>0</v>
      </c>
      <c r="M110" s="22">
        <f>L110</f>
        <v>0</v>
      </c>
      <c r="O110" s="357"/>
    </row>
    <row r="111" spans="1:15" s="27" customFormat="1" ht="25.5" x14ac:dyDescent="0.25">
      <c r="A111" s="42">
        <f t="shared" si="10"/>
        <v>101</v>
      </c>
      <c r="B111" s="15"/>
      <c r="C111" s="326" t="s">
        <v>13</v>
      </c>
      <c r="D111" s="315" t="s">
        <v>25</v>
      </c>
      <c r="E111" s="316" t="s">
        <v>14</v>
      </c>
      <c r="F111" s="317">
        <v>0.1</v>
      </c>
      <c r="G111" s="9">
        <f>G110*F111</f>
        <v>310.64</v>
      </c>
      <c r="H111" s="3"/>
      <c r="I111" s="24"/>
      <c r="J111" s="25">
        <f>H111</f>
        <v>0</v>
      </c>
      <c r="K111" s="25">
        <f>G111*H111</f>
        <v>0</v>
      </c>
      <c r="L111" s="25"/>
      <c r="M111" s="26">
        <f>K111</f>
        <v>0</v>
      </c>
      <c r="O111" s="357"/>
    </row>
    <row r="112" spans="1:15" s="27" customFormat="1" ht="25.5" x14ac:dyDescent="0.25">
      <c r="A112" s="42">
        <f t="shared" si="10"/>
        <v>102</v>
      </c>
      <c r="B112" s="15"/>
      <c r="C112" s="326" t="s">
        <v>52</v>
      </c>
      <c r="D112" s="315" t="s">
        <v>25</v>
      </c>
      <c r="E112" s="316" t="s">
        <v>10</v>
      </c>
      <c r="F112" s="317">
        <v>1.2</v>
      </c>
      <c r="G112" s="9">
        <f>G110*F112</f>
        <v>3727.62</v>
      </c>
      <c r="H112" s="3"/>
      <c r="I112" s="53"/>
      <c r="J112" s="25">
        <f>H112</f>
        <v>0</v>
      </c>
      <c r="K112" s="25">
        <f>G112*H112</f>
        <v>0</v>
      </c>
      <c r="L112" s="25"/>
      <c r="M112" s="26">
        <f>K112</f>
        <v>0</v>
      </c>
      <c r="O112" s="357"/>
    </row>
    <row r="113" spans="1:15" s="27" customFormat="1" ht="25.5" x14ac:dyDescent="0.25">
      <c r="A113" s="42">
        <f t="shared" si="10"/>
        <v>103</v>
      </c>
      <c r="B113" s="15"/>
      <c r="C113" s="314" t="s">
        <v>23</v>
      </c>
      <c r="D113" s="315" t="s">
        <v>25</v>
      </c>
      <c r="E113" s="316" t="s">
        <v>10</v>
      </c>
      <c r="F113" s="317">
        <v>1.7</v>
      </c>
      <c r="G113" s="9">
        <f>G110*F113</f>
        <v>5280.8</v>
      </c>
      <c r="H113" s="3"/>
      <c r="I113" s="24"/>
      <c r="J113" s="25">
        <f>H113</f>
        <v>0</v>
      </c>
      <c r="K113" s="25">
        <f>G113*H113</f>
        <v>0</v>
      </c>
      <c r="L113" s="25"/>
      <c r="M113" s="26">
        <f>K113</f>
        <v>0</v>
      </c>
      <c r="O113" s="357"/>
    </row>
    <row r="114" spans="1:15" s="27" customFormat="1" ht="45" customHeight="1" x14ac:dyDescent="0.25">
      <c r="A114" s="43">
        <f t="shared" si="10"/>
        <v>104</v>
      </c>
      <c r="B114" s="14" t="s">
        <v>110</v>
      </c>
      <c r="C114" s="54" t="s">
        <v>18</v>
      </c>
      <c r="D114" s="5" t="s">
        <v>22</v>
      </c>
      <c r="E114" s="6" t="s">
        <v>8</v>
      </c>
      <c r="F114" s="7">
        <v>1</v>
      </c>
      <c r="G114" s="18">
        <f>25.04*15</f>
        <v>375.6</v>
      </c>
      <c r="H114" s="2"/>
      <c r="I114" s="4"/>
      <c r="J114" s="21">
        <f>I114</f>
        <v>0</v>
      </c>
      <c r="K114" s="21"/>
      <c r="L114" s="21">
        <f>G114*I114</f>
        <v>0</v>
      </c>
      <c r="M114" s="22">
        <f>L114</f>
        <v>0</v>
      </c>
      <c r="O114" s="357"/>
    </row>
    <row r="115" spans="1:15" s="68" customFormat="1" ht="25.5" x14ac:dyDescent="0.25">
      <c r="A115" s="42">
        <f t="shared" si="10"/>
        <v>105</v>
      </c>
      <c r="B115" s="15"/>
      <c r="C115" s="314" t="s">
        <v>58</v>
      </c>
      <c r="D115" s="315" t="s">
        <v>25</v>
      </c>
      <c r="E115" s="316" t="s">
        <v>8</v>
      </c>
      <c r="F115" s="317">
        <v>1.07</v>
      </c>
      <c r="G115" s="318">
        <f>G114*F115</f>
        <v>401.89</v>
      </c>
      <c r="H115" s="3"/>
      <c r="I115" s="24"/>
      <c r="J115" s="25">
        <f>H115</f>
        <v>0</v>
      </c>
      <c r="K115" s="25">
        <f>G115*H115</f>
        <v>0</v>
      </c>
      <c r="L115" s="25"/>
      <c r="M115" s="26">
        <f>K115</f>
        <v>0</v>
      </c>
      <c r="O115" s="356"/>
    </row>
    <row r="116" spans="1:15" s="68" customFormat="1" ht="25.5" x14ac:dyDescent="0.25">
      <c r="A116" s="42">
        <f t="shared" si="10"/>
        <v>106</v>
      </c>
      <c r="B116" s="15"/>
      <c r="C116" s="314" t="s">
        <v>9</v>
      </c>
      <c r="D116" s="315" t="s">
        <v>25</v>
      </c>
      <c r="E116" s="316" t="s">
        <v>10</v>
      </c>
      <c r="F116" s="317">
        <v>12</v>
      </c>
      <c r="G116" s="318">
        <f>G114*0.3*F116</f>
        <v>1352.16</v>
      </c>
      <c r="H116" s="3"/>
      <c r="I116" s="24"/>
      <c r="J116" s="25">
        <f>H116</f>
        <v>0</v>
      </c>
      <c r="K116" s="25">
        <f>G116*H116</f>
        <v>0</v>
      </c>
      <c r="L116" s="25"/>
      <c r="M116" s="26">
        <f>K116</f>
        <v>0</v>
      </c>
      <c r="O116" s="356"/>
    </row>
    <row r="117" spans="1:15" s="68" customFormat="1" ht="25.5" x14ac:dyDescent="0.25">
      <c r="A117" s="42">
        <f t="shared" si="10"/>
        <v>107</v>
      </c>
      <c r="B117" s="15"/>
      <c r="C117" s="314" t="s">
        <v>11</v>
      </c>
      <c r="D117" s="315" t="s">
        <v>25</v>
      </c>
      <c r="E117" s="316" t="s">
        <v>10</v>
      </c>
      <c r="F117" s="317">
        <v>0.25</v>
      </c>
      <c r="G117" s="318">
        <f>G114*0.3*F117</f>
        <v>28.17</v>
      </c>
      <c r="H117" s="3"/>
      <c r="I117" s="24"/>
      <c r="J117" s="25">
        <f>H117</f>
        <v>0</v>
      </c>
      <c r="K117" s="25">
        <f>G117*H117</f>
        <v>0</v>
      </c>
      <c r="L117" s="25"/>
      <c r="M117" s="26">
        <f>K117</f>
        <v>0</v>
      </c>
      <c r="O117" s="356"/>
    </row>
    <row r="118" spans="1:15" s="68" customFormat="1" ht="25.5" x14ac:dyDescent="0.25">
      <c r="A118" s="42">
        <f t="shared" si="10"/>
        <v>108</v>
      </c>
      <c r="B118" s="15"/>
      <c r="C118" s="314" t="s">
        <v>46</v>
      </c>
      <c r="D118" s="315" t="s">
        <v>25</v>
      </c>
      <c r="E118" s="316" t="s">
        <v>12</v>
      </c>
      <c r="F118" s="317">
        <v>1.1000000000000001</v>
      </c>
      <c r="G118" s="318">
        <f>10.75*15*F118</f>
        <v>177.38</v>
      </c>
      <c r="H118" s="3"/>
      <c r="I118" s="24"/>
      <c r="J118" s="25">
        <f>H118</f>
        <v>0</v>
      </c>
      <c r="K118" s="25">
        <f>G118*H118</f>
        <v>0</v>
      </c>
      <c r="L118" s="25"/>
      <c r="M118" s="26">
        <f>K118</f>
        <v>0</v>
      </c>
      <c r="O118" s="356"/>
    </row>
    <row r="119" spans="1:15" s="27" customFormat="1" ht="12.75" x14ac:dyDescent="0.25">
      <c r="A119" s="43">
        <f t="shared" si="10"/>
        <v>109</v>
      </c>
      <c r="B119" s="14" t="s">
        <v>110</v>
      </c>
      <c r="C119" s="8" t="s">
        <v>19</v>
      </c>
      <c r="D119" s="5" t="s">
        <v>22</v>
      </c>
      <c r="E119" s="6" t="s">
        <v>8</v>
      </c>
      <c r="F119" s="7">
        <v>1</v>
      </c>
      <c r="G119" s="18">
        <f>G110</f>
        <v>3106.35</v>
      </c>
      <c r="H119" s="2"/>
      <c r="I119" s="4"/>
      <c r="J119" s="21">
        <f>I119</f>
        <v>0</v>
      </c>
      <c r="K119" s="21"/>
      <c r="L119" s="21">
        <f>G119*I119</f>
        <v>0</v>
      </c>
      <c r="M119" s="22">
        <f>L119</f>
        <v>0</v>
      </c>
      <c r="O119" s="357"/>
    </row>
    <row r="120" spans="1:15" s="68" customFormat="1" ht="25.5" x14ac:dyDescent="0.25">
      <c r="A120" s="42">
        <f t="shared" si="10"/>
        <v>110</v>
      </c>
      <c r="B120" s="15"/>
      <c r="C120" s="314" t="s">
        <v>13</v>
      </c>
      <c r="D120" s="315" t="s">
        <v>25</v>
      </c>
      <c r="E120" s="316" t="s">
        <v>14</v>
      </c>
      <c r="F120" s="317">
        <v>0.1</v>
      </c>
      <c r="G120" s="318">
        <f>G119*F120</f>
        <v>310.64</v>
      </c>
      <c r="H120" s="3"/>
      <c r="I120" s="24"/>
      <c r="J120" s="25">
        <f>H120</f>
        <v>0</v>
      </c>
      <c r="K120" s="25">
        <f>G120*H120</f>
        <v>0</v>
      </c>
      <c r="L120" s="25"/>
      <c r="M120" s="26">
        <f>K120</f>
        <v>0</v>
      </c>
      <c r="O120" s="356"/>
    </row>
    <row r="121" spans="1:15" s="68" customFormat="1" ht="25.5" x14ac:dyDescent="0.25">
      <c r="A121" s="42">
        <f t="shared" si="10"/>
        <v>111</v>
      </c>
      <c r="B121" s="15"/>
      <c r="C121" s="314" t="s">
        <v>104</v>
      </c>
      <c r="D121" s="315" t="s">
        <v>25</v>
      </c>
      <c r="E121" s="316" t="s">
        <v>14</v>
      </c>
      <c r="F121" s="317">
        <v>0.3</v>
      </c>
      <c r="G121" s="318">
        <f>182.89*15*F121</f>
        <v>823.01</v>
      </c>
      <c r="H121" s="3"/>
      <c r="I121" s="24"/>
      <c r="J121" s="25">
        <f>H121</f>
        <v>0</v>
      </c>
      <c r="K121" s="25">
        <f>G121*H121</f>
        <v>0</v>
      </c>
      <c r="L121" s="25"/>
      <c r="M121" s="26">
        <f>K121</f>
        <v>0</v>
      </c>
      <c r="O121" s="356"/>
    </row>
    <row r="122" spans="1:15" s="68" customFormat="1" ht="25.5" x14ac:dyDescent="0.25">
      <c r="A122" s="42">
        <f t="shared" si="10"/>
        <v>112</v>
      </c>
      <c r="B122" s="15"/>
      <c r="C122" s="314" t="s">
        <v>105</v>
      </c>
      <c r="D122" s="315" t="s">
        <v>25</v>
      </c>
      <c r="E122" s="316" t="s">
        <v>14</v>
      </c>
      <c r="F122" s="317">
        <v>0.3</v>
      </c>
      <c r="G122" s="318">
        <f>17.29*15*F122</f>
        <v>77.81</v>
      </c>
      <c r="H122" s="3"/>
      <c r="I122" s="24"/>
      <c r="J122" s="25">
        <f>H122</f>
        <v>0</v>
      </c>
      <c r="K122" s="25">
        <f>G122*H122</f>
        <v>0</v>
      </c>
      <c r="L122" s="25"/>
      <c r="M122" s="26">
        <f>K122</f>
        <v>0</v>
      </c>
      <c r="O122" s="356"/>
    </row>
    <row r="123" spans="1:15" s="68" customFormat="1" ht="25.5" x14ac:dyDescent="0.25">
      <c r="A123" s="42">
        <f t="shared" si="10"/>
        <v>113</v>
      </c>
      <c r="B123" s="15"/>
      <c r="C123" s="314" t="s">
        <v>106</v>
      </c>
      <c r="D123" s="315" t="s">
        <v>25</v>
      </c>
      <c r="E123" s="316" t="s">
        <v>14</v>
      </c>
      <c r="F123" s="317">
        <v>0.3</v>
      </c>
      <c r="G123" s="318">
        <f>6.91*15*F123</f>
        <v>31.1</v>
      </c>
      <c r="H123" s="3"/>
      <c r="I123" s="24"/>
      <c r="J123" s="25">
        <f>H123</f>
        <v>0</v>
      </c>
      <c r="K123" s="25">
        <f>G123*H123</f>
        <v>0</v>
      </c>
      <c r="L123" s="25"/>
      <c r="M123" s="26">
        <f>K123</f>
        <v>0</v>
      </c>
      <c r="O123" s="356"/>
    </row>
    <row r="124" spans="1:15" s="27" customFormat="1" ht="21.75" customHeight="1" x14ac:dyDescent="0.25">
      <c r="A124" s="43">
        <f t="shared" si="10"/>
        <v>114</v>
      </c>
      <c r="B124" s="14" t="s">
        <v>110</v>
      </c>
      <c r="C124" s="8" t="s">
        <v>20</v>
      </c>
      <c r="D124" s="5" t="s">
        <v>22</v>
      </c>
      <c r="E124" s="6" t="s">
        <v>24</v>
      </c>
      <c r="F124" s="7">
        <v>1</v>
      </c>
      <c r="G124" s="18">
        <f>78.72*15</f>
        <v>1180.8</v>
      </c>
      <c r="H124" s="2"/>
      <c r="I124" s="4"/>
      <c r="J124" s="21">
        <f>I124</f>
        <v>0</v>
      </c>
      <c r="K124" s="21"/>
      <c r="L124" s="21">
        <f>G124*I124</f>
        <v>0</v>
      </c>
      <c r="M124" s="22">
        <f>L124</f>
        <v>0</v>
      </c>
      <c r="O124" s="357"/>
    </row>
    <row r="125" spans="1:15" s="27" customFormat="1" ht="25.5" customHeight="1" x14ac:dyDescent="0.25">
      <c r="A125" s="42">
        <f t="shared" si="10"/>
        <v>115</v>
      </c>
      <c r="B125" s="15"/>
      <c r="C125" s="314" t="s">
        <v>32</v>
      </c>
      <c r="D125" s="315" t="s">
        <v>25</v>
      </c>
      <c r="E125" s="328" t="s">
        <v>10</v>
      </c>
      <c r="F125" s="329">
        <v>0.05</v>
      </c>
      <c r="G125" s="318">
        <f>G124*0.2*F125</f>
        <v>11.81</v>
      </c>
      <c r="H125" s="3"/>
      <c r="I125" s="24"/>
      <c r="J125" s="25">
        <f>H125</f>
        <v>0</v>
      </c>
      <c r="K125" s="25">
        <f>G125*H125</f>
        <v>0</v>
      </c>
      <c r="L125" s="25"/>
      <c r="M125" s="26">
        <f>K125</f>
        <v>0</v>
      </c>
      <c r="O125" s="357"/>
    </row>
    <row r="126" spans="1:15" s="27" customFormat="1" ht="25.5" x14ac:dyDescent="0.25">
      <c r="A126" s="42">
        <f t="shared" si="10"/>
        <v>116</v>
      </c>
      <c r="B126" s="15"/>
      <c r="C126" s="314" t="s">
        <v>33</v>
      </c>
      <c r="D126" s="315" t="s">
        <v>25</v>
      </c>
      <c r="E126" s="328" t="s">
        <v>10</v>
      </c>
      <c r="F126" s="329">
        <v>10</v>
      </c>
      <c r="G126" s="318">
        <f>G124*0.2*F126</f>
        <v>2361.6</v>
      </c>
      <c r="H126" s="3"/>
      <c r="I126" s="24"/>
      <c r="J126" s="25">
        <f>H126</f>
        <v>0</v>
      </c>
      <c r="K126" s="25">
        <f>G126*H126</f>
        <v>0</v>
      </c>
      <c r="L126" s="25"/>
      <c r="M126" s="26">
        <f>K126</f>
        <v>0</v>
      </c>
      <c r="O126" s="357"/>
    </row>
    <row r="127" spans="1:15" s="27" customFormat="1" ht="25.5" x14ac:dyDescent="0.25">
      <c r="A127" s="42">
        <f t="shared" si="10"/>
        <v>117</v>
      </c>
      <c r="B127" s="15"/>
      <c r="C127" s="314" t="s">
        <v>13</v>
      </c>
      <c r="D127" s="315" t="s">
        <v>25</v>
      </c>
      <c r="E127" s="316" t="s">
        <v>14</v>
      </c>
      <c r="F127" s="317">
        <v>0.1</v>
      </c>
      <c r="G127" s="318">
        <f>G124*0.2*F127</f>
        <v>23.62</v>
      </c>
      <c r="H127" s="3"/>
      <c r="I127" s="24"/>
      <c r="J127" s="25">
        <f>H127</f>
        <v>0</v>
      </c>
      <c r="K127" s="25">
        <f>G127*H127</f>
        <v>0</v>
      </c>
      <c r="L127" s="25"/>
      <c r="M127" s="26">
        <f>K127</f>
        <v>0</v>
      </c>
      <c r="O127" s="357"/>
    </row>
    <row r="128" spans="1:15" s="27" customFormat="1" ht="25.5" x14ac:dyDescent="0.25">
      <c r="A128" s="42">
        <f t="shared" si="10"/>
        <v>118</v>
      </c>
      <c r="B128" s="15"/>
      <c r="C128" s="314" t="s">
        <v>23</v>
      </c>
      <c r="D128" s="330" t="s">
        <v>25</v>
      </c>
      <c r="E128" s="328" t="s">
        <v>10</v>
      </c>
      <c r="F128" s="329">
        <v>1.7</v>
      </c>
      <c r="G128" s="318">
        <f>G124*0.2*F128</f>
        <v>401.47</v>
      </c>
      <c r="H128" s="3"/>
      <c r="I128" s="24"/>
      <c r="J128" s="25">
        <f>H128</f>
        <v>0</v>
      </c>
      <c r="K128" s="25">
        <f>G128*H128</f>
        <v>0</v>
      </c>
      <c r="L128" s="25"/>
      <c r="M128" s="26">
        <f>K128</f>
        <v>0</v>
      </c>
      <c r="O128" s="357"/>
    </row>
    <row r="129" spans="1:15" s="68" customFormat="1" ht="25.5" x14ac:dyDescent="0.25">
      <c r="A129" s="42">
        <f t="shared" si="10"/>
        <v>119</v>
      </c>
      <c r="B129" s="15"/>
      <c r="C129" s="314" t="s">
        <v>104</v>
      </c>
      <c r="D129" s="315" t="s">
        <v>25</v>
      </c>
      <c r="E129" s="316" t="s">
        <v>14</v>
      </c>
      <c r="F129" s="317">
        <v>0.3</v>
      </c>
      <c r="G129" s="318">
        <f>78.72*0.2*15*F129</f>
        <v>70.849999999999994</v>
      </c>
      <c r="H129" s="3"/>
      <c r="I129" s="69"/>
      <c r="J129" s="25">
        <f>H129</f>
        <v>0</v>
      </c>
      <c r="K129" s="25">
        <f>G129*H129</f>
        <v>0</v>
      </c>
      <c r="L129" s="25"/>
      <c r="M129" s="26">
        <f>K129</f>
        <v>0</v>
      </c>
      <c r="O129" s="356"/>
    </row>
    <row r="130" spans="1:15" s="44" customFormat="1" ht="25.5" customHeight="1" x14ac:dyDescent="0.25">
      <c r="A130" s="305">
        <f>ROW()-10</f>
        <v>120</v>
      </c>
      <c r="B130" s="306" t="s">
        <v>113</v>
      </c>
      <c r="C130" s="307" t="s">
        <v>112</v>
      </c>
      <c r="D130" s="36"/>
      <c r="E130" s="308"/>
      <c r="F130" s="309"/>
      <c r="G130" s="310"/>
      <c r="H130" s="39"/>
      <c r="I130" s="37"/>
      <c r="J130" s="28"/>
      <c r="K130" s="28"/>
      <c r="L130" s="28"/>
      <c r="M130" s="40"/>
      <c r="O130" s="355"/>
    </row>
    <row r="131" spans="1:15" s="27" customFormat="1" ht="12.75" x14ac:dyDescent="0.25">
      <c r="A131" s="43">
        <f t="shared" ref="A131:A142" si="11">ROW()-10</f>
        <v>121</v>
      </c>
      <c r="B131" s="14" t="s">
        <v>113</v>
      </c>
      <c r="C131" s="8" t="s">
        <v>16</v>
      </c>
      <c r="D131" s="5" t="s">
        <v>22</v>
      </c>
      <c r="E131" s="6" t="s">
        <v>8</v>
      </c>
      <c r="F131" s="7">
        <v>1</v>
      </c>
      <c r="G131" s="18">
        <f>69.2*15</f>
        <v>1038</v>
      </c>
      <c r="H131" s="2"/>
      <c r="I131" s="4"/>
      <c r="J131" s="21">
        <f>I131</f>
        <v>0</v>
      </c>
      <c r="K131" s="21"/>
      <c r="L131" s="21">
        <f>G131*I131</f>
        <v>0</v>
      </c>
      <c r="M131" s="22">
        <f>L131</f>
        <v>0</v>
      </c>
      <c r="O131" s="357"/>
    </row>
    <row r="132" spans="1:15" s="27" customFormat="1" ht="25.5" x14ac:dyDescent="0.25">
      <c r="A132" s="41">
        <f t="shared" si="11"/>
        <v>122</v>
      </c>
      <c r="B132" s="38" t="s">
        <v>59</v>
      </c>
      <c r="C132" s="314" t="s">
        <v>58</v>
      </c>
      <c r="D132" s="315" t="s">
        <v>25</v>
      </c>
      <c r="E132" s="316" t="s">
        <v>8</v>
      </c>
      <c r="F132" s="317">
        <v>1.07</v>
      </c>
      <c r="G132" s="9">
        <f>G131*F132</f>
        <v>1110.6600000000001</v>
      </c>
      <c r="H132" s="3"/>
      <c r="I132" s="24"/>
      <c r="J132" s="25">
        <f>H132</f>
        <v>0</v>
      </c>
      <c r="K132" s="25">
        <f>G132*H132</f>
        <v>0</v>
      </c>
      <c r="L132" s="25"/>
      <c r="M132" s="26">
        <f>K132</f>
        <v>0</v>
      </c>
      <c r="O132" s="357"/>
    </row>
    <row r="133" spans="1:15" s="27" customFormat="1" ht="25.5" x14ac:dyDescent="0.25">
      <c r="A133" s="42">
        <f t="shared" si="11"/>
        <v>123</v>
      </c>
      <c r="B133" s="15"/>
      <c r="C133" s="314" t="s">
        <v>9</v>
      </c>
      <c r="D133" s="315" t="s">
        <v>25</v>
      </c>
      <c r="E133" s="316" t="s">
        <v>10</v>
      </c>
      <c r="F133" s="317">
        <v>12</v>
      </c>
      <c r="G133" s="9">
        <f>G131*F133</f>
        <v>12456</v>
      </c>
      <c r="H133" s="3"/>
      <c r="I133" s="24"/>
      <c r="J133" s="25">
        <f>H133</f>
        <v>0</v>
      </c>
      <c r="K133" s="25">
        <f>G133*H133</f>
        <v>0</v>
      </c>
      <c r="L133" s="25"/>
      <c r="M133" s="26">
        <f>K133</f>
        <v>0</v>
      </c>
      <c r="O133" s="357"/>
    </row>
    <row r="134" spans="1:15" s="27" customFormat="1" ht="25.5" x14ac:dyDescent="0.25">
      <c r="A134" s="42">
        <f t="shared" si="11"/>
        <v>124</v>
      </c>
      <c r="B134" s="15"/>
      <c r="C134" s="314" t="s">
        <v>11</v>
      </c>
      <c r="D134" s="315" t="s">
        <v>25</v>
      </c>
      <c r="E134" s="316" t="s">
        <v>10</v>
      </c>
      <c r="F134" s="317">
        <v>0.25</v>
      </c>
      <c r="G134" s="9">
        <f>G131*F134</f>
        <v>259.5</v>
      </c>
      <c r="H134" s="3"/>
      <c r="I134" s="24"/>
      <c r="J134" s="25">
        <f>H134</f>
        <v>0</v>
      </c>
      <c r="K134" s="25">
        <f>G134*H134</f>
        <v>0</v>
      </c>
      <c r="L134" s="25"/>
      <c r="M134" s="26">
        <f>K134</f>
        <v>0</v>
      </c>
      <c r="O134" s="357"/>
    </row>
    <row r="135" spans="1:15" s="27" customFormat="1" ht="12.75" x14ac:dyDescent="0.25">
      <c r="A135" s="43">
        <f t="shared" ref="A135:A145" si="12">ROW()-10</f>
        <v>125</v>
      </c>
      <c r="B135" s="14" t="s">
        <v>113</v>
      </c>
      <c r="C135" s="8" t="s">
        <v>62</v>
      </c>
      <c r="D135" s="5" t="s">
        <v>22</v>
      </c>
      <c r="E135" s="6" t="s">
        <v>8</v>
      </c>
      <c r="F135" s="7">
        <v>1</v>
      </c>
      <c r="G135" s="18">
        <f>7.6*15</f>
        <v>114</v>
      </c>
      <c r="H135" s="2"/>
      <c r="I135" s="4"/>
      <c r="J135" s="21">
        <f>I135</f>
        <v>0</v>
      </c>
      <c r="K135" s="21"/>
      <c r="L135" s="21">
        <f>G135*I135</f>
        <v>0</v>
      </c>
      <c r="M135" s="22">
        <f>L135</f>
        <v>0</v>
      </c>
      <c r="O135" s="357"/>
    </row>
    <row r="136" spans="1:15" s="27" customFormat="1" ht="25.5" x14ac:dyDescent="0.25">
      <c r="A136" s="41">
        <f t="shared" si="12"/>
        <v>126</v>
      </c>
      <c r="B136" s="38" t="s">
        <v>64</v>
      </c>
      <c r="C136" s="314" t="s">
        <v>67</v>
      </c>
      <c r="D136" s="315" t="s">
        <v>25</v>
      </c>
      <c r="E136" s="316" t="s">
        <v>8</v>
      </c>
      <c r="F136" s="317">
        <v>1.07</v>
      </c>
      <c r="G136" s="9">
        <f>G135*F136</f>
        <v>121.98</v>
      </c>
      <c r="H136" s="3"/>
      <c r="I136" s="24"/>
      <c r="J136" s="25">
        <f>H136</f>
        <v>0</v>
      </c>
      <c r="K136" s="25">
        <f>G136*H136</f>
        <v>0</v>
      </c>
      <c r="L136" s="25"/>
      <c r="M136" s="26">
        <f>K136</f>
        <v>0</v>
      </c>
      <c r="O136" s="357"/>
    </row>
    <row r="137" spans="1:15" s="27" customFormat="1" ht="25.5" x14ac:dyDescent="0.25">
      <c r="A137" s="42">
        <f t="shared" si="12"/>
        <v>127</v>
      </c>
      <c r="B137" s="15"/>
      <c r="C137" s="314" t="s">
        <v>9</v>
      </c>
      <c r="D137" s="315" t="s">
        <v>25</v>
      </c>
      <c r="E137" s="316" t="s">
        <v>10</v>
      </c>
      <c r="F137" s="317">
        <v>12</v>
      </c>
      <c r="G137" s="9">
        <f>G135*F137</f>
        <v>1368</v>
      </c>
      <c r="H137" s="3"/>
      <c r="I137" s="24"/>
      <c r="J137" s="25">
        <f>H137</f>
        <v>0</v>
      </c>
      <c r="K137" s="25">
        <f>G137*H137</f>
        <v>0</v>
      </c>
      <c r="L137" s="25"/>
      <c r="M137" s="26">
        <f>K137</f>
        <v>0</v>
      </c>
      <c r="O137" s="357"/>
    </row>
    <row r="138" spans="1:15" s="27" customFormat="1" ht="25.5" x14ac:dyDescent="0.25">
      <c r="A138" s="42">
        <f t="shared" si="12"/>
        <v>128</v>
      </c>
      <c r="B138" s="15"/>
      <c r="C138" s="314" t="s">
        <v>11</v>
      </c>
      <c r="D138" s="315" t="s">
        <v>25</v>
      </c>
      <c r="E138" s="316" t="s">
        <v>10</v>
      </c>
      <c r="F138" s="317">
        <v>0.25</v>
      </c>
      <c r="G138" s="9">
        <f>G135*F138</f>
        <v>28.5</v>
      </c>
      <c r="H138" s="3"/>
      <c r="I138" s="24"/>
      <c r="J138" s="25">
        <f>H138</f>
        <v>0</v>
      </c>
      <c r="K138" s="25">
        <f>G138*H138</f>
        <v>0</v>
      </c>
      <c r="L138" s="25"/>
      <c r="M138" s="26">
        <f>K138</f>
        <v>0</v>
      </c>
      <c r="O138" s="357"/>
    </row>
    <row r="139" spans="1:15" s="27" customFormat="1" ht="25.5" x14ac:dyDescent="0.25">
      <c r="A139" s="43">
        <f t="shared" si="11"/>
        <v>129</v>
      </c>
      <c r="B139" s="14" t="s">
        <v>113</v>
      </c>
      <c r="C139" s="8" t="s">
        <v>17</v>
      </c>
      <c r="D139" s="5" t="s">
        <v>22</v>
      </c>
      <c r="E139" s="6" t="s">
        <v>12</v>
      </c>
      <c r="F139" s="7">
        <v>1</v>
      </c>
      <c r="G139" s="18">
        <f>62.2*15+10.6*15</f>
        <v>1092</v>
      </c>
      <c r="H139" s="2"/>
      <c r="I139" s="4"/>
      <c r="J139" s="21">
        <f>I139</f>
        <v>0</v>
      </c>
      <c r="K139" s="21"/>
      <c r="L139" s="21">
        <f>G139*I139</f>
        <v>0</v>
      </c>
      <c r="M139" s="22">
        <f>L139</f>
        <v>0</v>
      </c>
      <c r="O139" s="357"/>
    </row>
    <row r="140" spans="1:15" s="27" customFormat="1" ht="25.5" x14ac:dyDescent="0.25">
      <c r="A140" s="42">
        <f t="shared" si="11"/>
        <v>130</v>
      </c>
      <c r="B140" s="15" t="s">
        <v>65</v>
      </c>
      <c r="C140" s="314" t="s">
        <v>66</v>
      </c>
      <c r="D140" s="315" t="s">
        <v>25</v>
      </c>
      <c r="E140" s="316" t="s">
        <v>8</v>
      </c>
      <c r="F140" s="317">
        <v>1.07</v>
      </c>
      <c r="G140" s="9">
        <f>G139*0.1*F140</f>
        <v>116.84</v>
      </c>
      <c r="H140" s="3"/>
      <c r="I140" s="24"/>
      <c r="J140" s="25">
        <f>H140</f>
        <v>0</v>
      </c>
      <c r="K140" s="25">
        <f>G140*H140</f>
        <v>0</v>
      </c>
      <c r="L140" s="25"/>
      <c r="M140" s="26">
        <f>K140</f>
        <v>0</v>
      </c>
      <c r="O140" s="357"/>
    </row>
    <row r="141" spans="1:15" s="27" customFormat="1" ht="25.5" x14ac:dyDescent="0.25">
      <c r="A141" s="42">
        <f t="shared" si="11"/>
        <v>131</v>
      </c>
      <c r="B141" s="15"/>
      <c r="C141" s="314" t="s">
        <v>9</v>
      </c>
      <c r="D141" s="315" t="s">
        <v>25</v>
      </c>
      <c r="E141" s="316" t="s">
        <v>10</v>
      </c>
      <c r="F141" s="317">
        <v>12</v>
      </c>
      <c r="G141" s="9">
        <f>G139*0.1*F141</f>
        <v>1310.4000000000001</v>
      </c>
      <c r="H141" s="3"/>
      <c r="I141" s="24"/>
      <c r="J141" s="25">
        <f>H141</f>
        <v>0</v>
      </c>
      <c r="K141" s="25">
        <f>G141*H141</f>
        <v>0</v>
      </c>
      <c r="L141" s="25"/>
      <c r="M141" s="26">
        <f>K141</f>
        <v>0</v>
      </c>
      <c r="O141" s="357"/>
    </row>
    <row r="142" spans="1:15" s="27" customFormat="1" ht="25.5" x14ac:dyDescent="0.25">
      <c r="A142" s="42">
        <f t="shared" si="11"/>
        <v>132</v>
      </c>
      <c r="B142" s="15"/>
      <c r="C142" s="314" t="s">
        <v>11</v>
      </c>
      <c r="D142" s="315" t="s">
        <v>25</v>
      </c>
      <c r="E142" s="316" t="s">
        <v>10</v>
      </c>
      <c r="F142" s="317">
        <v>0.25</v>
      </c>
      <c r="G142" s="9">
        <f>G139*0.1*F142</f>
        <v>27.3</v>
      </c>
      <c r="H142" s="3"/>
      <c r="I142" s="24"/>
      <c r="J142" s="25">
        <f>H142</f>
        <v>0</v>
      </c>
      <c r="K142" s="25">
        <f>G142*H142</f>
        <v>0</v>
      </c>
      <c r="L142" s="25"/>
      <c r="M142" s="26">
        <f>K142</f>
        <v>0</v>
      </c>
      <c r="O142" s="357"/>
    </row>
    <row r="143" spans="1:15" s="27" customFormat="1" ht="12.75" x14ac:dyDescent="0.25">
      <c r="A143" s="43">
        <f t="shared" si="12"/>
        <v>133</v>
      </c>
      <c r="B143" s="14" t="s">
        <v>113</v>
      </c>
      <c r="C143" s="8" t="s">
        <v>76</v>
      </c>
      <c r="D143" s="5" t="s">
        <v>22</v>
      </c>
      <c r="E143" s="6" t="s">
        <v>12</v>
      </c>
      <c r="F143" s="7">
        <v>1</v>
      </c>
      <c r="G143" s="18">
        <f>6.2*15</f>
        <v>93</v>
      </c>
      <c r="H143" s="2"/>
      <c r="I143" s="4"/>
      <c r="J143" s="21">
        <f>I143</f>
        <v>0</v>
      </c>
      <c r="K143" s="21"/>
      <c r="L143" s="21">
        <f>G143*I143</f>
        <v>0</v>
      </c>
      <c r="M143" s="22">
        <f>L143</f>
        <v>0</v>
      </c>
      <c r="O143" s="357"/>
    </row>
    <row r="144" spans="1:15" s="27" customFormat="1" ht="25.5" x14ac:dyDescent="0.25">
      <c r="A144" s="42">
        <f t="shared" si="12"/>
        <v>134</v>
      </c>
      <c r="B144" s="15"/>
      <c r="C144" s="314" t="s">
        <v>130</v>
      </c>
      <c r="D144" s="315" t="s">
        <v>25</v>
      </c>
      <c r="E144" s="316" t="s">
        <v>14</v>
      </c>
      <c r="F144" s="317">
        <v>0.3</v>
      </c>
      <c r="G144" s="9">
        <f>G143*0.1*F144</f>
        <v>2.79</v>
      </c>
      <c r="H144" s="3"/>
      <c r="I144" s="24"/>
      <c r="J144" s="25">
        <f>H144</f>
        <v>0</v>
      </c>
      <c r="K144" s="25">
        <f>G144*H144</f>
        <v>0</v>
      </c>
      <c r="L144" s="25"/>
      <c r="M144" s="26">
        <f>K144</f>
        <v>0</v>
      </c>
      <c r="O144" s="357"/>
    </row>
    <row r="145" spans="1:15" s="27" customFormat="1" ht="25.5" x14ac:dyDescent="0.25">
      <c r="A145" s="42">
        <f t="shared" si="12"/>
        <v>135</v>
      </c>
      <c r="B145" s="15"/>
      <c r="C145" s="314" t="s">
        <v>13</v>
      </c>
      <c r="D145" s="315" t="s">
        <v>25</v>
      </c>
      <c r="E145" s="316" t="s">
        <v>14</v>
      </c>
      <c r="F145" s="317">
        <v>0.1</v>
      </c>
      <c r="G145" s="9">
        <f>G143*0.1*F145</f>
        <v>0.93</v>
      </c>
      <c r="H145" s="3"/>
      <c r="I145" s="24"/>
      <c r="J145" s="25">
        <f>H145</f>
        <v>0</v>
      </c>
      <c r="K145" s="25">
        <f>G145*H145</f>
        <v>0</v>
      </c>
      <c r="L145" s="25"/>
      <c r="M145" s="26">
        <f>K145</f>
        <v>0</v>
      </c>
      <c r="O145" s="357"/>
    </row>
    <row r="146" spans="1:15" s="23" customFormat="1" ht="12.75" x14ac:dyDescent="0.25">
      <c r="A146" s="297">
        <f>ROW()-10</f>
        <v>136</v>
      </c>
      <c r="B146" s="298" t="s">
        <v>84</v>
      </c>
      <c r="C146" s="299" t="s">
        <v>125</v>
      </c>
      <c r="D146" s="48"/>
      <c r="E146" s="300"/>
      <c r="F146" s="301"/>
      <c r="G146" s="302"/>
      <c r="H146" s="49"/>
      <c r="I146" s="50"/>
      <c r="J146" s="51"/>
      <c r="K146" s="51"/>
      <c r="L146" s="51"/>
      <c r="M146" s="52"/>
      <c r="O146" s="354"/>
    </row>
    <row r="147" spans="1:15" s="44" customFormat="1" ht="25.5" customHeight="1" x14ac:dyDescent="0.25">
      <c r="A147" s="256">
        <f>ROW()-10</f>
        <v>137</v>
      </c>
      <c r="B147" s="306" t="s">
        <v>87</v>
      </c>
      <c r="C147" s="307" t="s">
        <v>88</v>
      </c>
      <c r="D147" s="36"/>
      <c r="E147" s="308"/>
      <c r="F147" s="309"/>
      <c r="G147" s="310"/>
      <c r="H147" s="39"/>
      <c r="I147" s="37"/>
      <c r="J147" s="28"/>
      <c r="K147" s="28"/>
      <c r="L147" s="28"/>
      <c r="M147" s="40"/>
      <c r="O147" s="355"/>
    </row>
    <row r="148" spans="1:15" s="23" customFormat="1" ht="12.75" x14ac:dyDescent="0.25">
      <c r="A148" s="319">
        <f t="shared" ref="A148:A157" si="13">ROW()-10</f>
        <v>138</v>
      </c>
      <c r="B148" s="320" t="s">
        <v>96</v>
      </c>
      <c r="C148" s="321" t="s">
        <v>97</v>
      </c>
      <c r="D148" s="322" t="s">
        <v>22</v>
      </c>
      <c r="E148" s="323" t="s">
        <v>8</v>
      </c>
      <c r="F148" s="143">
        <v>1</v>
      </c>
      <c r="G148" s="313">
        <v>67.8</v>
      </c>
      <c r="H148" s="2"/>
      <c r="I148" s="4"/>
      <c r="J148" s="21">
        <f>I148</f>
        <v>0</v>
      </c>
      <c r="K148" s="21"/>
      <c r="L148" s="21">
        <f>G148*I148</f>
        <v>0</v>
      </c>
      <c r="M148" s="22">
        <f>L148</f>
        <v>0</v>
      </c>
      <c r="O148" s="354"/>
    </row>
    <row r="149" spans="1:15" s="68" customFormat="1" ht="25.5" x14ac:dyDescent="0.25">
      <c r="A149" s="324">
        <f t="shared" si="13"/>
        <v>139</v>
      </c>
      <c r="B149" s="325"/>
      <c r="C149" s="314" t="s">
        <v>120</v>
      </c>
      <c r="D149" s="315" t="s">
        <v>25</v>
      </c>
      <c r="E149" s="316" t="s">
        <v>12</v>
      </c>
      <c r="F149" s="317">
        <v>1.1000000000000001</v>
      </c>
      <c r="G149" s="318">
        <f>G148*11*F149</f>
        <v>820.38</v>
      </c>
      <c r="H149" s="3"/>
      <c r="I149" s="24"/>
      <c r="J149" s="25">
        <f>H149</f>
        <v>0</v>
      </c>
      <c r="K149" s="25">
        <f>G149*H149</f>
        <v>0</v>
      </c>
      <c r="L149" s="25"/>
      <c r="M149" s="26">
        <f>K149</f>
        <v>0</v>
      </c>
      <c r="O149" s="356"/>
    </row>
    <row r="150" spans="1:15" s="23" customFormat="1" ht="12.75" x14ac:dyDescent="0.25">
      <c r="A150" s="43">
        <f t="shared" si="13"/>
        <v>140</v>
      </c>
      <c r="B150" s="14" t="s">
        <v>99</v>
      </c>
      <c r="C150" s="55" t="s">
        <v>100</v>
      </c>
      <c r="D150" s="5" t="s">
        <v>22</v>
      </c>
      <c r="E150" s="6" t="s">
        <v>8</v>
      </c>
      <c r="F150" s="7">
        <v>1</v>
      </c>
      <c r="G150" s="313">
        <v>15</v>
      </c>
      <c r="H150" s="2"/>
      <c r="I150" s="4"/>
      <c r="J150" s="21">
        <f>I150</f>
        <v>0</v>
      </c>
      <c r="K150" s="21"/>
      <c r="L150" s="21">
        <f>G150*I150</f>
        <v>0</v>
      </c>
      <c r="M150" s="22">
        <f>L150</f>
        <v>0</v>
      </c>
      <c r="O150" s="354"/>
    </row>
    <row r="151" spans="1:15" s="68" customFormat="1" ht="25.5" x14ac:dyDescent="0.25">
      <c r="A151" s="42">
        <f t="shared" si="13"/>
        <v>141</v>
      </c>
      <c r="B151" s="15"/>
      <c r="C151" s="326" t="s">
        <v>13</v>
      </c>
      <c r="D151" s="315" t="s">
        <v>25</v>
      </c>
      <c r="E151" s="316" t="s">
        <v>14</v>
      </c>
      <c r="F151" s="317">
        <v>0.1</v>
      </c>
      <c r="G151" s="318">
        <f>G150*F151</f>
        <v>1.5</v>
      </c>
      <c r="H151" s="3"/>
      <c r="I151" s="24"/>
      <c r="J151" s="25">
        <f>H151</f>
        <v>0</v>
      </c>
      <c r="K151" s="25">
        <f>G151*H151</f>
        <v>0</v>
      </c>
      <c r="L151" s="25"/>
      <c r="M151" s="26">
        <f>K151</f>
        <v>0</v>
      </c>
      <c r="O151" s="356"/>
    </row>
    <row r="152" spans="1:15" s="68" customFormat="1" ht="25.5" x14ac:dyDescent="0.25">
      <c r="A152" s="42">
        <f t="shared" si="13"/>
        <v>142</v>
      </c>
      <c r="B152" s="15"/>
      <c r="C152" s="326" t="s">
        <v>101</v>
      </c>
      <c r="D152" s="315" t="s">
        <v>25</v>
      </c>
      <c r="E152" s="316" t="s">
        <v>10</v>
      </c>
      <c r="F152" s="317">
        <v>1.2</v>
      </c>
      <c r="G152" s="318">
        <f>G150*F152</f>
        <v>18</v>
      </c>
      <c r="H152" s="3"/>
      <c r="I152" s="24"/>
      <c r="J152" s="25">
        <f>H152</f>
        <v>0</v>
      </c>
      <c r="K152" s="25">
        <f>G152*H152</f>
        <v>0</v>
      </c>
      <c r="L152" s="25"/>
      <c r="M152" s="26">
        <f>K152</f>
        <v>0</v>
      </c>
      <c r="O152" s="356"/>
    </row>
    <row r="153" spans="1:15" s="68" customFormat="1" ht="25.5" x14ac:dyDescent="0.25">
      <c r="A153" s="42">
        <f t="shared" si="13"/>
        <v>143</v>
      </c>
      <c r="B153" s="15"/>
      <c r="C153" s="314" t="s">
        <v>23</v>
      </c>
      <c r="D153" s="315" t="s">
        <v>25</v>
      </c>
      <c r="E153" s="316" t="s">
        <v>10</v>
      </c>
      <c r="F153" s="317">
        <v>1.7</v>
      </c>
      <c r="G153" s="318">
        <f>G150*F153</f>
        <v>25.5</v>
      </c>
      <c r="H153" s="3"/>
      <c r="I153" s="24"/>
      <c r="J153" s="25">
        <f>H153</f>
        <v>0</v>
      </c>
      <c r="K153" s="25">
        <f>G153*H153</f>
        <v>0</v>
      </c>
      <c r="L153" s="25"/>
      <c r="M153" s="26">
        <f>K153</f>
        <v>0</v>
      </c>
      <c r="O153" s="356"/>
    </row>
    <row r="154" spans="1:15" s="23" customFormat="1" ht="38.25" x14ac:dyDescent="0.25">
      <c r="A154" s="43">
        <f t="shared" si="13"/>
        <v>144</v>
      </c>
      <c r="B154" s="14" t="s">
        <v>102</v>
      </c>
      <c r="C154" s="8" t="s">
        <v>103</v>
      </c>
      <c r="D154" s="5" t="s">
        <v>22</v>
      </c>
      <c r="E154" s="6" t="s">
        <v>8</v>
      </c>
      <c r="F154" s="7">
        <v>1</v>
      </c>
      <c r="G154" s="313">
        <f>G148+G150</f>
        <v>82.8</v>
      </c>
      <c r="H154" s="2"/>
      <c r="I154" s="4"/>
      <c r="J154" s="21">
        <f>I154</f>
        <v>0</v>
      </c>
      <c r="K154" s="21"/>
      <c r="L154" s="21">
        <f>G154*I154</f>
        <v>0</v>
      </c>
      <c r="M154" s="22">
        <f>L154</f>
        <v>0</v>
      </c>
      <c r="O154" s="354"/>
    </row>
    <row r="155" spans="1:15" s="68" customFormat="1" ht="25.5" x14ac:dyDescent="0.25">
      <c r="A155" s="42">
        <f t="shared" si="13"/>
        <v>145</v>
      </c>
      <c r="B155" s="15"/>
      <c r="C155" s="314" t="s">
        <v>13</v>
      </c>
      <c r="D155" s="315" t="s">
        <v>25</v>
      </c>
      <c r="E155" s="316" t="s">
        <v>14</v>
      </c>
      <c r="F155" s="317">
        <v>0.1</v>
      </c>
      <c r="G155" s="318">
        <f>G154*F155</f>
        <v>8.2799999999999994</v>
      </c>
      <c r="H155" s="3"/>
      <c r="I155" s="24"/>
      <c r="J155" s="25">
        <f>H155</f>
        <v>0</v>
      </c>
      <c r="K155" s="25">
        <f>G155*H155</f>
        <v>0</v>
      </c>
      <c r="L155" s="25"/>
      <c r="M155" s="26">
        <f>K155</f>
        <v>0</v>
      </c>
      <c r="O155" s="356"/>
    </row>
    <row r="156" spans="1:15" s="70" customFormat="1" ht="25.5" x14ac:dyDescent="0.25">
      <c r="A156" s="42">
        <f t="shared" si="13"/>
        <v>146</v>
      </c>
      <c r="B156" s="38"/>
      <c r="C156" s="314" t="s">
        <v>118</v>
      </c>
      <c r="D156" s="315" t="s">
        <v>25</v>
      </c>
      <c r="E156" s="316" t="s">
        <v>14</v>
      </c>
      <c r="F156" s="317">
        <v>0.3</v>
      </c>
      <c r="G156" s="318">
        <f>15*F156</f>
        <v>4.5</v>
      </c>
      <c r="H156" s="3"/>
      <c r="I156" s="24"/>
      <c r="J156" s="25">
        <f>H156</f>
        <v>0</v>
      </c>
      <c r="K156" s="25">
        <f>G156*H156</f>
        <v>0</v>
      </c>
      <c r="L156" s="25"/>
      <c r="M156" s="26">
        <f>K156</f>
        <v>0</v>
      </c>
      <c r="O156" s="358"/>
    </row>
    <row r="157" spans="1:15" s="70" customFormat="1" ht="51" x14ac:dyDescent="0.25">
      <c r="A157" s="42">
        <f t="shared" si="13"/>
        <v>147</v>
      </c>
      <c r="B157" s="38" t="s">
        <v>121</v>
      </c>
      <c r="C157" s="314" t="s">
        <v>106</v>
      </c>
      <c r="D157" s="315" t="s">
        <v>25</v>
      </c>
      <c r="E157" s="316" t="s">
        <v>14</v>
      </c>
      <c r="F157" s="317">
        <v>0.3</v>
      </c>
      <c r="G157" s="318">
        <f>(67.8+91.12*0.2)*F157</f>
        <v>25.81</v>
      </c>
      <c r="H157" s="3"/>
      <c r="I157" s="24"/>
      <c r="J157" s="25">
        <f>H157</f>
        <v>0</v>
      </c>
      <c r="K157" s="25">
        <f>G157*H157</f>
        <v>0</v>
      </c>
      <c r="L157" s="25"/>
      <c r="M157" s="26">
        <f>K157</f>
        <v>0</v>
      </c>
      <c r="O157" s="358"/>
    </row>
    <row r="158" spans="1:15" s="44" customFormat="1" ht="25.5" customHeight="1" x14ac:dyDescent="0.25">
      <c r="A158" s="256">
        <f>ROW()-10</f>
        <v>148</v>
      </c>
      <c r="B158" s="306" t="s">
        <v>110</v>
      </c>
      <c r="C158" s="307" t="s">
        <v>109</v>
      </c>
      <c r="D158" s="36"/>
      <c r="E158" s="308"/>
      <c r="F158" s="309"/>
      <c r="G158" s="310"/>
      <c r="H158" s="39"/>
      <c r="I158" s="37"/>
      <c r="J158" s="28"/>
      <c r="K158" s="28"/>
      <c r="L158" s="28"/>
      <c r="M158" s="40"/>
      <c r="O158" s="355"/>
    </row>
    <row r="159" spans="1:15" s="27" customFormat="1" ht="12.75" x14ac:dyDescent="0.25">
      <c r="A159" s="43">
        <f t="shared" ref="A159:A178" si="14">ROW()-10</f>
        <v>149</v>
      </c>
      <c r="B159" s="14" t="s">
        <v>110</v>
      </c>
      <c r="C159" s="55" t="s">
        <v>21</v>
      </c>
      <c r="D159" s="5" t="s">
        <v>22</v>
      </c>
      <c r="E159" s="6" t="s">
        <v>8</v>
      </c>
      <c r="F159" s="7">
        <v>1</v>
      </c>
      <c r="G159" s="18">
        <f>189.24</f>
        <v>189.24</v>
      </c>
      <c r="H159" s="2"/>
      <c r="I159" s="4"/>
      <c r="J159" s="21">
        <f>I159</f>
        <v>0</v>
      </c>
      <c r="K159" s="21"/>
      <c r="L159" s="21">
        <f>G159*I159</f>
        <v>0</v>
      </c>
      <c r="M159" s="22">
        <f>L159</f>
        <v>0</v>
      </c>
      <c r="O159" s="357"/>
    </row>
    <row r="160" spans="1:15" s="27" customFormat="1" ht="25.5" x14ac:dyDescent="0.25">
      <c r="A160" s="42">
        <f t="shared" si="14"/>
        <v>150</v>
      </c>
      <c r="B160" s="15"/>
      <c r="C160" s="326" t="s">
        <v>13</v>
      </c>
      <c r="D160" s="315" t="s">
        <v>25</v>
      </c>
      <c r="E160" s="316" t="s">
        <v>14</v>
      </c>
      <c r="F160" s="317">
        <v>0.1</v>
      </c>
      <c r="G160" s="9">
        <f>G159*F160</f>
        <v>18.920000000000002</v>
      </c>
      <c r="H160" s="3"/>
      <c r="I160" s="24"/>
      <c r="J160" s="25">
        <f>H160</f>
        <v>0</v>
      </c>
      <c r="K160" s="25">
        <f>G160*H160</f>
        <v>0</v>
      </c>
      <c r="L160" s="25"/>
      <c r="M160" s="26">
        <f>K160</f>
        <v>0</v>
      </c>
      <c r="O160" s="357"/>
    </row>
    <row r="161" spans="1:15" s="27" customFormat="1" ht="25.5" x14ac:dyDescent="0.25">
      <c r="A161" s="42">
        <f t="shared" si="14"/>
        <v>151</v>
      </c>
      <c r="B161" s="15"/>
      <c r="C161" s="326" t="s">
        <v>52</v>
      </c>
      <c r="D161" s="315" t="s">
        <v>25</v>
      </c>
      <c r="E161" s="316" t="s">
        <v>10</v>
      </c>
      <c r="F161" s="317">
        <v>1.2</v>
      </c>
      <c r="G161" s="9">
        <f>G159*F161</f>
        <v>227.09</v>
      </c>
      <c r="H161" s="3"/>
      <c r="I161" s="53"/>
      <c r="J161" s="25">
        <f>H161</f>
        <v>0</v>
      </c>
      <c r="K161" s="25">
        <f>G161*H161</f>
        <v>0</v>
      </c>
      <c r="L161" s="25"/>
      <c r="M161" s="26">
        <f>K161</f>
        <v>0</v>
      </c>
      <c r="O161" s="357"/>
    </row>
    <row r="162" spans="1:15" s="27" customFormat="1" ht="25.5" x14ac:dyDescent="0.25">
      <c r="A162" s="42">
        <f t="shared" si="14"/>
        <v>152</v>
      </c>
      <c r="B162" s="15"/>
      <c r="C162" s="314" t="s">
        <v>23</v>
      </c>
      <c r="D162" s="315" t="s">
        <v>25</v>
      </c>
      <c r="E162" s="316" t="s">
        <v>10</v>
      </c>
      <c r="F162" s="317">
        <v>1.7</v>
      </c>
      <c r="G162" s="9">
        <f>G159*F162</f>
        <v>321.70999999999998</v>
      </c>
      <c r="H162" s="3"/>
      <c r="I162" s="24"/>
      <c r="J162" s="25">
        <f>H162</f>
        <v>0</v>
      </c>
      <c r="K162" s="25">
        <f>G162*H162</f>
        <v>0</v>
      </c>
      <c r="L162" s="25"/>
      <c r="M162" s="26">
        <f>K162</f>
        <v>0</v>
      </c>
      <c r="O162" s="357"/>
    </row>
    <row r="163" spans="1:15" s="27" customFormat="1" ht="45" customHeight="1" x14ac:dyDescent="0.25">
      <c r="A163" s="43">
        <f t="shared" si="14"/>
        <v>153</v>
      </c>
      <c r="B163" s="14" t="s">
        <v>110</v>
      </c>
      <c r="C163" s="54" t="s">
        <v>18</v>
      </c>
      <c r="D163" s="5" t="s">
        <v>22</v>
      </c>
      <c r="E163" s="6" t="s">
        <v>8</v>
      </c>
      <c r="F163" s="7">
        <v>1</v>
      </c>
      <c r="G163" s="18">
        <f>24.64</f>
        <v>24.64</v>
      </c>
      <c r="H163" s="2"/>
      <c r="I163" s="4"/>
      <c r="J163" s="21">
        <f>I163</f>
        <v>0</v>
      </c>
      <c r="K163" s="21"/>
      <c r="L163" s="21">
        <f>G163*I163</f>
        <v>0</v>
      </c>
      <c r="M163" s="22">
        <f>L163</f>
        <v>0</v>
      </c>
      <c r="O163" s="357"/>
    </row>
    <row r="164" spans="1:15" s="68" customFormat="1" ht="25.5" x14ac:dyDescent="0.25">
      <c r="A164" s="42">
        <f t="shared" si="14"/>
        <v>154</v>
      </c>
      <c r="B164" s="15"/>
      <c r="C164" s="314" t="s">
        <v>58</v>
      </c>
      <c r="D164" s="315" t="s">
        <v>25</v>
      </c>
      <c r="E164" s="316" t="s">
        <v>8</v>
      </c>
      <c r="F164" s="317">
        <v>1.07</v>
      </c>
      <c r="G164" s="318">
        <f>G163*F164</f>
        <v>26.36</v>
      </c>
      <c r="H164" s="3"/>
      <c r="I164" s="24"/>
      <c r="J164" s="25">
        <f>H164</f>
        <v>0</v>
      </c>
      <c r="K164" s="25">
        <f>G164*H164</f>
        <v>0</v>
      </c>
      <c r="L164" s="25"/>
      <c r="M164" s="26">
        <f>K164</f>
        <v>0</v>
      </c>
      <c r="O164" s="356"/>
    </row>
    <row r="165" spans="1:15" s="68" customFormat="1" ht="25.5" x14ac:dyDescent="0.25">
      <c r="A165" s="42">
        <f t="shared" si="14"/>
        <v>155</v>
      </c>
      <c r="B165" s="15"/>
      <c r="C165" s="314" t="s">
        <v>9</v>
      </c>
      <c r="D165" s="315" t="s">
        <v>25</v>
      </c>
      <c r="E165" s="316" t="s">
        <v>10</v>
      </c>
      <c r="F165" s="317">
        <v>12</v>
      </c>
      <c r="G165" s="318">
        <f>G163*0.3*F165</f>
        <v>88.7</v>
      </c>
      <c r="H165" s="3"/>
      <c r="I165" s="24"/>
      <c r="J165" s="25">
        <f>H165</f>
        <v>0</v>
      </c>
      <c r="K165" s="25">
        <f>G165*H165</f>
        <v>0</v>
      </c>
      <c r="L165" s="25"/>
      <c r="M165" s="26">
        <f>K165</f>
        <v>0</v>
      </c>
      <c r="O165" s="356"/>
    </row>
    <row r="166" spans="1:15" s="68" customFormat="1" ht="25.5" x14ac:dyDescent="0.25">
      <c r="A166" s="42">
        <f t="shared" si="14"/>
        <v>156</v>
      </c>
      <c r="B166" s="15"/>
      <c r="C166" s="314" t="s">
        <v>11</v>
      </c>
      <c r="D166" s="315" t="s">
        <v>25</v>
      </c>
      <c r="E166" s="316" t="s">
        <v>10</v>
      </c>
      <c r="F166" s="317">
        <v>0.25</v>
      </c>
      <c r="G166" s="318">
        <f>G163*0.3*F166</f>
        <v>1.85</v>
      </c>
      <c r="H166" s="3"/>
      <c r="I166" s="24"/>
      <c r="J166" s="25">
        <f>H166</f>
        <v>0</v>
      </c>
      <c r="K166" s="25">
        <f>G166*H166</f>
        <v>0</v>
      </c>
      <c r="L166" s="25"/>
      <c r="M166" s="26">
        <f>K166</f>
        <v>0</v>
      </c>
      <c r="O166" s="356"/>
    </row>
    <row r="167" spans="1:15" s="68" customFormat="1" ht="25.5" x14ac:dyDescent="0.25">
      <c r="A167" s="42">
        <f t="shared" si="14"/>
        <v>157</v>
      </c>
      <c r="B167" s="15"/>
      <c r="C167" s="314" t="s">
        <v>46</v>
      </c>
      <c r="D167" s="315" t="s">
        <v>25</v>
      </c>
      <c r="E167" s="316" t="s">
        <v>12</v>
      </c>
      <c r="F167" s="317">
        <v>1.1000000000000001</v>
      </c>
      <c r="G167" s="318">
        <f>10.75*F167</f>
        <v>11.83</v>
      </c>
      <c r="H167" s="3"/>
      <c r="I167" s="24"/>
      <c r="J167" s="25">
        <f>H167</f>
        <v>0</v>
      </c>
      <c r="K167" s="25">
        <f>G167*H167</f>
        <v>0</v>
      </c>
      <c r="L167" s="25"/>
      <c r="M167" s="26">
        <f>K167</f>
        <v>0</v>
      </c>
      <c r="O167" s="356"/>
    </row>
    <row r="168" spans="1:15" s="27" customFormat="1" ht="12.75" x14ac:dyDescent="0.25">
      <c r="A168" s="43">
        <f t="shared" si="14"/>
        <v>158</v>
      </c>
      <c r="B168" s="14" t="s">
        <v>110</v>
      </c>
      <c r="C168" s="8" t="s">
        <v>19</v>
      </c>
      <c r="D168" s="5" t="s">
        <v>22</v>
      </c>
      <c r="E168" s="6" t="s">
        <v>8</v>
      </c>
      <c r="F168" s="7">
        <v>1</v>
      </c>
      <c r="G168" s="18">
        <f>G159</f>
        <v>189.24</v>
      </c>
      <c r="H168" s="2"/>
      <c r="I168" s="4"/>
      <c r="J168" s="21">
        <f>I168</f>
        <v>0</v>
      </c>
      <c r="K168" s="21"/>
      <c r="L168" s="21">
        <f>G168*I168</f>
        <v>0</v>
      </c>
      <c r="M168" s="22">
        <f>L168</f>
        <v>0</v>
      </c>
      <c r="O168" s="357"/>
    </row>
    <row r="169" spans="1:15" s="68" customFormat="1" ht="25.5" x14ac:dyDescent="0.25">
      <c r="A169" s="42">
        <f t="shared" si="14"/>
        <v>159</v>
      </c>
      <c r="B169" s="15"/>
      <c r="C169" s="314" t="s">
        <v>13</v>
      </c>
      <c r="D169" s="315" t="s">
        <v>25</v>
      </c>
      <c r="E169" s="316" t="s">
        <v>14</v>
      </c>
      <c r="F169" s="317">
        <v>0.1</v>
      </c>
      <c r="G169" s="318">
        <f>G168*F169</f>
        <v>18.920000000000002</v>
      </c>
      <c r="H169" s="3"/>
      <c r="I169" s="24"/>
      <c r="J169" s="25">
        <f>H169</f>
        <v>0</v>
      </c>
      <c r="K169" s="25">
        <f>G169*H169</f>
        <v>0</v>
      </c>
      <c r="L169" s="25"/>
      <c r="M169" s="26">
        <f>K169</f>
        <v>0</v>
      </c>
      <c r="O169" s="356"/>
    </row>
    <row r="170" spans="1:15" s="68" customFormat="1" ht="25.5" x14ac:dyDescent="0.25">
      <c r="A170" s="42">
        <f t="shared" si="14"/>
        <v>160</v>
      </c>
      <c r="B170" s="15"/>
      <c r="C170" s="314" t="s">
        <v>104</v>
      </c>
      <c r="D170" s="315" t="s">
        <v>25</v>
      </c>
      <c r="E170" s="316" t="s">
        <v>14</v>
      </c>
      <c r="F170" s="317">
        <v>0.3</v>
      </c>
      <c r="G170" s="318">
        <f>167.78*F170</f>
        <v>50.33</v>
      </c>
      <c r="H170" s="3"/>
      <c r="I170" s="24"/>
      <c r="J170" s="25">
        <f>H170</f>
        <v>0</v>
      </c>
      <c r="K170" s="25">
        <f>G170*H170</f>
        <v>0</v>
      </c>
      <c r="L170" s="25"/>
      <c r="M170" s="26">
        <f>K170</f>
        <v>0</v>
      </c>
      <c r="O170" s="356"/>
    </row>
    <row r="171" spans="1:15" s="68" customFormat="1" ht="25.5" x14ac:dyDescent="0.25">
      <c r="A171" s="42">
        <f t="shared" si="14"/>
        <v>161</v>
      </c>
      <c r="B171" s="15"/>
      <c r="C171" s="314" t="s">
        <v>105</v>
      </c>
      <c r="D171" s="315" t="s">
        <v>25</v>
      </c>
      <c r="E171" s="316" t="s">
        <v>14</v>
      </c>
      <c r="F171" s="317">
        <v>0.3</v>
      </c>
      <c r="G171" s="318">
        <f>16.97*F171</f>
        <v>5.09</v>
      </c>
      <c r="H171" s="3"/>
      <c r="I171" s="24"/>
      <c r="J171" s="25">
        <f>H171</f>
        <v>0</v>
      </c>
      <c r="K171" s="25">
        <f>G171*H171</f>
        <v>0</v>
      </c>
      <c r="L171" s="25"/>
      <c r="M171" s="26">
        <f>K171</f>
        <v>0</v>
      </c>
      <c r="O171" s="356"/>
    </row>
    <row r="172" spans="1:15" s="68" customFormat="1" ht="25.5" x14ac:dyDescent="0.25">
      <c r="A172" s="42">
        <f t="shared" si="14"/>
        <v>162</v>
      </c>
      <c r="B172" s="15"/>
      <c r="C172" s="314" t="s">
        <v>106</v>
      </c>
      <c r="D172" s="315" t="s">
        <v>25</v>
      </c>
      <c r="E172" s="316" t="s">
        <v>14</v>
      </c>
      <c r="F172" s="317">
        <v>0.3</v>
      </c>
      <c r="G172" s="318">
        <f>4.48*F172</f>
        <v>1.34</v>
      </c>
      <c r="H172" s="3"/>
      <c r="I172" s="24"/>
      <c r="J172" s="25">
        <f>H172</f>
        <v>0</v>
      </c>
      <c r="K172" s="25">
        <f>G172*H172</f>
        <v>0</v>
      </c>
      <c r="L172" s="25"/>
      <c r="M172" s="26">
        <f>K172</f>
        <v>0</v>
      </c>
      <c r="O172" s="356"/>
    </row>
    <row r="173" spans="1:15" s="27" customFormat="1" ht="21.75" customHeight="1" x14ac:dyDescent="0.25">
      <c r="A173" s="43">
        <f t="shared" si="14"/>
        <v>163</v>
      </c>
      <c r="B173" s="14" t="s">
        <v>110</v>
      </c>
      <c r="C173" s="8" t="s">
        <v>20</v>
      </c>
      <c r="D173" s="5" t="s">
        <v>22</v>
      </c>
      <c r="E173" s="6" t="s">
        <v>24</v>
      </c>
      <c r="F173" s="7">
        <v>1</v>
      </c>
      <c r="G173" s="18">
        <f>78.72</f>
        <v>78.72</v>
      </c>
      <c r="H173" s="2"/>
      <c r="I173" s="4"/>
      <c r="J173" s="21">
        <f>I173</f>
        <v>0</v>
      </c>
      <c r="K173" s="21"/>
      <c r="L173" s="21">
        <f>G173*I173</f>
        <v>0</v>
      </c>
      <c r="M173" s="22">
        <f>L173</f>
        <v>0</v>
      </c>
      <c r="O173" s="357"/>
    </row>
    <row r="174" spans="1:15" s="27" customFormat="1" ht="25.5" customHeight="1" x14ac:dyDescent="0.25">
      <c r="A174" s="42">
        <f t="shared" si="14"/>
        <v>164</v>
      </c>
      <c r="B174" s="15"/>
      <c r="C174" s="314" t="s">
        <v>32</v>
      </c>
      <c r="D174" s="315" t="s">
        <v>25</v>
      </c>
      <c r="E174" s="328" t="s">
        <v>10</v>
      </c>
      <c r="F174" s="329">
        <v>0.05</v>
      </c>
      <c r="G174" s="318">
        <f>G173*0.2*F174</f>
        <v>0.79</v>
      </c>
      <c r="H174" s="3"/>
      <c r="I174" s="24"/>
      <c r="J174" s="25">
        <f>H174</f>
        <v>0</v>
      </c>
      <c r="K174" s="25">
        <f>G174*H174</f>
        <v>0</v>
      </c>
      <c r="L174" s="25"/>
      <c r="M174" s="26">
        <f>K174</f>
        <v>0</v>
      </c>
      <c r="O174" s="357"/>
    </row>
    <row r="175" spans="1:15" s="27" customFormat="1" ht="25.5" x14ac:dyDescent="0.25">
      <c r="A175" s="42">
        <f t="shared" si="14"/>
        <v>165</v>
      </c>
      <c r="B175" s="15"/>
      <c r="C175" s="314" t="s">
        <v>33</v>
      </c>
      <c r="D175" s="315" t="s">
        <v>25</v>
      </c>
      <c r="E175" s="328" t="s">
        <v>10</v>
      </c>
      <c r="F175" s="329">
        <v>10</v>
      </c>
      <c r="G175" s="318">
        <f>G173*0.2*F175</f>
        <v>157.44</v>
      </c>
      <c r="H175" s="3"/>
      <c r="I175" s="24"/>
      <c r="J175" s="25">
        <f>H175</f>
        <v>0</v>
      </c>
      <c r="K175" s="25">
        <f>G175*H175</f>
        <v>0</v>
      </c>
      <c r="L175" s="25"/>
      <c r="M175" s="26">
        <f>K175</f>
        <v>0</v>
      </c>
      <c r="O175" s="357"/>
    </row>
    <row r="176" spans="1:15" s="27" customFormat="1" ht="25.5" x14ac:dyDescent="0.25">
      <c r="A176" s="42">
        <f t="shared" si="14"/>
        <v>166</v>
      </c>
      <c r="B176" s="15"/>
      <c r="C176" s="314" t="s">
        <v>13</v>
      </c>
      <c r="D176" s="315" t="s">
        <v>25</v>
      </c>
      <c r="E176" s="316" t="s">
        <v>14</v>
      </c>
      <c r="F176" s="317">
        <v>0.1</v>
      </c>
      <c r="G176" s="318">
        <f>G173*0.2*F176</f>
        <v>1.57</v>
      </c>
      <c r="H176" s="3"/>
      <c r="I176" s="24"/>
      <c r="J176" s="25">
        <f>H176</f>
        <v>0</v>
      </c>
      <c r="K176" s="25">
        <f>G176*H176</f>
        <v>0</v>
      </c>
      <c r="L176" s="25"/>
      <c r="M176" s="26">
        <f>K176</f>
        <v>0</v>
      </c>
      <c r="O176" s="357"/>
    </row>
    <row r="177" spans="1:15" s="27" customFormat="1" ht="25.5" x14ac:dyDescent="0.25">
      <c r="A177" s="42">
        <f t="shared" si="14"/>
        <v>167</v>
      </c>
      <c r="B177" s="15"/>
      <c r="C177" s="314" t="s">
        <v>23</v>
      </c>
      <c r="D177" s="330" t="s">
        <v>25</v>
      </c>
      <c r="E177" s="328" t="s">
        <v>10</v>
      </c>
      <c r="F177" s="329">
        <v>1.7</v>
      </c>
      <c r="G177" s="318">
        <f>G173*0.2*F177</f>
        <v>26.76</v>
      </c>
      <c r="H177" s="3"/>
      <c r="I177" s="24"/>
      <c r="J177" s="25">
        <f>H177</f>
        <v>0</v>
      </c>
      <c r="K177" s="25">
        <f>G177*H177</f>
        <v>0</v>
      </c>
      <c r="L177" s="25"/>
      <c r="M177" s="26">
        <f>K177</f>
        <v>0</v>
      </c>
      <c r="O177" s="357"/>
    </row>
    <row r="178" spans="1:15" s="68" customFormat="1" ht="25.5" x14ac:dyDescent="0.25">
      <c r="A178" s="42">
        <f t="shared" si="14"/>
        <v>168</v>
      </c>
      <c r="B178" s="15"/>
      <c r="C178" s="314" t="s">
        <v>104</v>
      </c>
      <c r="D178" s="315" t="s">
        <v>25</v>
      </c>
      <c r="E178" s="316" t="s">
        <v>14</v>
      </c>
      <c r="F178" s="317">
        <v>0.3</v>
      </c>
      <c r="G178" s="318">
        <f>78.72*0.2*F178</f>
        <v>4.72</v>
      </c>
      <c r="H178" s="3"/>
      <c r="I178" s="69"/>
      <c r="J178" s="25">
        <f>H178</f>
        <v>0</v>
      </c>
      <c r="K178" s="25">
        <f>G178*H178</f>
        <v>0</v>
      </c>
      <c r="L178" s="25"/>
      <c r="M178" s="26">
        <f>K178</f>
        <v>0</v>
      </c>
      <c r="O178" s="356"/>
    </row>
    <row r="179" spans="1:15" s="44" customFormat="1" ht="25.5" customHeight="1" x14ac:dyDescent="0.25">
      <c r="A179" s="305">
        <f>ROW()-10</f>
        <v>169</v>
      </c>
      <c r="B179" s="306" t="s">
        <v>113</v>
      </c>
      <c r="C179" s="307" t="s">
        <v>112</v>
      </c>
      <c r="D179" s="36"/>
      <c r="E179" s="308"/>
      <c r="F179" s="309"/>
      <c r="G179" s="310"/>
      <c r="H179" s="39"/>
      <c r="I179" s="37"/>
      <c r="J179" s="28"/>
      <c r="K179" s="28"/>
      <c r="L179" s="28"/>
      <c r="M179" s="40"/>
      <c r="O179" s="355"/>
    </row>
    <row r="180" spans="1:15" s="27" customFormat="1" ht="12.75" x14ac:dyDescent="0.25">
      <c r="A180" s="43">
        <f t="shared" ref="A180:A191" si="15">ROW()-10</f>
        <v>170</v>
      </c>
      <c r="B180" s="14" t="s">
        <v>113</v>
      </c>
      <c r="C180" s="8" t="s">
        <v>16</v>
      </c>
      <c r="D180" s="5" t="s">
        <v>22</v>
      </c>
      <c r="E180" s="6" t="s">
        <v>8</v>
      </c>
      <c r="F180" s="7">
        <v>1</v>
      </c>
      <c r="G180" s="18">
        <v>69.2</v>
      </c>
      <c r="H180" s="2"/>
      <c r="I180" s="4"/>
      <c r="J180" s="21">
        <f>I180</f>
        <v>0</v>
      </c>
      <c r="K180" s="21"/>
      <c r="L180" s="21">
        <f>G180*I180</f>
        <v>0</v>
      </c>
      <c r="M180" s="22">
        <f>L180</f>
        <v>0</v>
      </c>
      <c r="O180" s="357"/>
    </row>
    <row r="181" spans="1:15" s="27" customFormat="1" ht="25.5" x14ac:dyDescent="0.25">
      <c r="A181" s="41">
        <f t="shared" si="15"/>
        <v>171</v>
      </c>
      <c r="B181" s="38" t="s">
        <v>59</v>
      </c>
      <c r="C181" s="314" t="s">
        <v>58</v>
      </c>
      <c r="D181" s="315" t="s">
        <v>25</v>
      </c>
      <c r="E181" s="316" t="s">
        <v>8</v>
      </c>
      <c r="F181" s="317">
        <v>1.07</v>
      </c>
      <c r="G181" s="9">
        <f>G180*F181</f>
        <v>74.040000000000006</v>
      </c>
      <c r="H181" s="3"/>
      <c r="I181" s="24"/>
      <c r="J181" s="25">
        <f>H181</f>
        <v>0</v>
      </c>
      <c r="K181" s="25">
        <f>G181*H181</f>
        <v>0</v>
      </c>
      <c r="L181" s="25"/>
      <c r="M181" s="26">
        <f>K181</f>
        <v>0</v>
      </c>
      <c r="O181" s="357"/>
    </row>
    <row r="182" spans="1:15" s="27" customFormat="1" ht="25.5" x14ac:dyDescent="0.25">
      <c r="A182" s="42">
        <f t="shared" si="15"/>
        <v>172</v>
      </c>
      <c r="B182" s="15"/>
      <c r="C182" s="314" t="s">
        <v>9</v>
      </c>
      <c r="D182" s="315" t="s">
        <v>25</v>
      </c>
      <c r="E182" s="316" t="s">
        <v>10</v>
      </c>
      <c r="F182" s="317">
        <v>12</v>
      </c>
      <c r="G182" s="9">
        <f>G180*F182</f>
        <v>830.4</v>
      </c>
      <c r="H182" s="3"/>
      <c r="I182" s="24"/>
      <c r="J182" s="25">
        <f>H182</f>
        <v>0</v>
      </c>
      <c r="K182" s="25">
        <f>G182*H182</f>
        <v>0</v>
      </c>
      <c r="L182" s="25"/>
      <c r="M182" s="26">
        <f>K182</f>
        <v>0</v>
      </c>
      <c r="O182" s="357"/>
    </row>
    <row r="183" spans="1:15" s="27" customFormat="1" ht="25.5" x14ac:dyDescent="0.25">
      <c r="A183" s="42">
        <f t="shared" si="15"/>
        <v>173</v>
      </c>
      <c r="B183" s="15"/>
      <c r="C183" s="314" t="s">
        <v>11</v>
      </c>
      <c r="D183" s="315" t="s">
        <v>25</v>
      </c>
      <c r="E183" s="316" t="s">
        <v>10</v>
      </c>
      <c r="F183" s="317">
        <v>0.25</v>
      </c>
      <c r="G183" s="9">
        <f>G180*F183</f>
        <v>17.3</v>
      </c>
      <c r="H183" s="3"/>
      <c r="I183" s="24"/>
      <c r="J183" s="25">
        <f>H183</f>
        <v>0</v>
      </c>
      <c r="K183" s="25">
        <f>G183*H183</f>
        <v>0</v>
      </c>
      <c r="L183" s="25"/>
      <c r="M183" s="26">
        <f>K183</f>
        <v>0</v>
      </c>
      <c r="O183" s="357"/>
    </row>
    <row r="184" spans="1:15" s="27" customFormat="1" ht="12.75" x14ac:dyDescent="0.25">
      <c r="A184" s="43">
        <f t="shared" ref="A184:A194" si="16">ROW()-10</f>
        <v>174</v>
      </c>
      <c r="B184" s="14" t="s">
        <v>113</v>
      </c>
      <c r="C184" s="8" t="s">
        <v>62</v>
      </c>
      <c r="D184" s="5" t="s">
        <v>22</v>
      </c>
      <c r="E184" s="6" t="s">
        <v>8</v>
      </c>
      <c r="F184" s="7">
        <v>1</v>
      </c>
      <c r="G184" s="18">
        <v>5.8</v>
      </c>
      <c r="H184" s="2"/>
      <c r="I184" s="4"/>
      <c r="J184" s="21">
        <f>I184</f>
        <v>0</v>
      </c>
      <c r="K184" s="21"/>
      <c r="L184" s="21">
        <f>G184*I184</f>
        <v>0</v>
      </c>
      <c r="M184" s="22">
        <f>L184</f>
        <v>0</v>
      </c>
      <c r="O184" s="357"/>
    </row>
    <row r="185" spans="1:15" s="27" customFormat="1" ht="25.5" x14ac:dyDescent="0.25">
      <c r="A185" s="41">
        <f t="shared" si="16"/>
        <v>175</v>
      </c>
      <c r="B185" s="38" t="s">
        <v>64</v>
      </c>
      <c r="C185" s="314" t="s">
        <v>67</v>
      </c>
      <c r="D185" s="315" t="s">
        <v>25</v>
      </c>
      <c r="E185" s="316" t="s">
        <v>8</v>
      </c>
      <c r="F185" s="317">
        <v>1.07</v>
      </c>
      <c r="G185" s="9">
        <f>G184*F185</f>
        <v>6.21</v>
      </c>
      <c r="H185" s="3"/>
      <c r="I185" s="24"/>
      <c r="J185" s="25">
        <f>H185</f>
        <v>0</v>
      </c>
      <c r="K185" s="25">
        <f>G185*H185</f>
        <v>0</v>
      </c>
      <c r="L185" s="25"/>
      <c r="M185" s="26">
        <f>K185</f>
        <v>0</v>
      </c>
      <c r="O185" s="357"/>
    </row>
    <row r="186" spans="1:15" s="27" customFormat="1" ht="25.5" x14ac:dyDescent="0.25">
      <c r="A186" s="42">
        <f t="shared" si="16"/>
        <v>176</v>
      </c>
      <c r="B186" s="15"/>
      <c r="C186" s="314" t="s">
        <v>9</v>
      </c>
      <c r="D186" s="315" t="s">
        <v>25</v>
      </c>
      <c r="E186" s="316" t="s">
        <v>10</v>
      </c>
      <c r="F186" s="317">
        <v>12</v>
      </c>
      <c r="G186" s="9">
        <f>G184*F186</f>
        <v>69.599999999999994</v>
      </c>
      <c r="H186" s="3"/>
      <c r="I186" s="24"/>
      <c r="J186" s="25">
        <f>H186</f>
        <v>0</v>
      </c>
      <c r="K186" s="25">
        <f>G186*H186</f>
        <v>0</v>
      </c>
      <c r="L186" s="25"/>
      <c r="M186" s="26">
        <f>K186</f>
        <v>0</v>
      </c>
      <c r="O186" s="357"/>
    </row>
    <row r="187" spans="1:15" s="27" customFormat="1" ht="25.5" x14ac:dyDescent="0.25">
      <c r="A187" s="42">
        <f t="shared" si="16"/>
        <v>177</v>
      </c>
      <c r="B187" s="15"/>
      <c r="C187" s="314" t="s">
        <v>11</v>
      </c>
      <c r="D187" s="315" t="s">
        <v>25</v>
      </c>
      <c r="E187" s="316" t="s">
        <v>10</v>
      </c>
      <c r="F187" s="317">
        <v>0.25</v>
      </c>
      <c r="G187" s="9">
        <f>G184*F187</f>
        <v>1.45</v>
      </c>
      <c r="H187" s="3"/>
      <c r="I187" s="24"/>
      <c r="J187" s="25">
        <f>H187</f>
        <v>0</v>
      </c>
      <c r="K187" s="25">
        <f>G187*H187</f>
        <v>0</v>
      </c>
      <c r="L187" s="25"/>
      <c r="M187" s="26">
        <f>K187</f>
        <v>0</v>
      </c>
      <c r="O187" s="357"/>
    </row>
    <row r="188" spans="1:15" s="27" customFormat="1" ht="25.5" x14ac:dyDescent="0.25">
      <c r="A188" s="43">
        <f t="shared" si="15"/>
        <v>178</v>
      </c>
      <c r="B188" s="14" t="s">
        <v>113</v>
      </c>
      <c r="C188" s="8" t="s">
        <v>17</v>
      </c>
      <c r="D188" s="5" t="s">
        <v>22</v>
      </c>
      <c r="E188" s="6" t="s">
        <v>12</v>
      </c>
      <c r="F188" s="7">
        <v>1</v>
      </c>
      <c r="G188" s="18">
        <f>63.2+5.6</f>
        <v>68.8</v>
      </c>
      <c r="H188" s="2"/>
      <c r="I188" s="4"/>
      <c r="J188" s="21">
        <f>I188</f>
        <v>0</v>
      </c>
      <c r="K188" s="21"/>
      <c r="L188" s="21">
        <f>G188*I188</f>
        <v>0</v>
      </c>
      <c r="M188" s="22">
        <f>L188</f>
        <v>0</v>
      </c>
      <c r="O188" s="357"/>
    </row>
    <row r="189" spans="1:15" s="27" customFormat="1" ht="25.5" x14ac:dyDescent="0.25">
      <c r="A189" s="42">
        <f t="shared" si="15"/>
        <v>179</v>
      </c>
      <c r="B189" s="15" t="s">
        <v>65</v>
      </c>
      <c r="C189" s="314" t="s">
        <v>66</v>
      </c>
      <c r="D189" s="315" t="s">
        <v>25</v>
      </c>
      <c r="E189" s="316" t="s">
        <v>8</v>
      </c>
      <c r="F189" s="317">
        <v>1.07</v>
      </c>
      <c r="G189" s="9">
        <f>G188*0.1*F189</f>
        <v>7.36</v>
      </c>
      <c r="H189" s="3"/>
      <c r="I189" s="24"/>
      <c r="J189" s="25">
        <f>H189</f>
        <v>0</v>
      </c>
      <c r="K189" s="25">
        <f>G189*H189</f>
        <v>0</v>
      </c>
      <c r="L189" s="25"/>
      <c r="M189" s="26">
        <f>K189</f>
        <v>0</v>
      </c>
      <c r="O189" s="357"/>
    </row>
    <row r="190" spans="1:15" s="27" customFormat="1" ht="25.5" x14ac:dyDescent="0.25">
      <c r="A190" s="42">
        <f t="shared" si="15"/>
        <v>180</v>
      </c>
      <c r="B190" s="15"/>
      <c r="C190" s="314" t="s">
        <v>9</v>
      </c>
      <c r="D190" s="315" t="s">
        <v>25</v>
      </c>
      <c r="E190" s="316" t="s">
        <v>10</v>
      </c>
      <c r="F190" s="317">
        <v>12</v>
      </c>
      <c r="G190" s="9">
        <f>G188*0.1*F190</f>
        <v>82.56</v>
      </c>
      <c r="H190" s="3"/>
      <c r="I190" s="24"/>
      <c r="J190" s="25">
        <f>H190</f>
        <v>0</v>
      </c>
      <c r="K190" s="25">
        <f>G190*H190</f>
        <v>0</v>
      </c>
      <c r="L190" s="25"/>
      <c r="M190" s="26">
        <f>K190</f>
        <v>0</v>
      </c>
      <c r="O190" s="357"/>
    </row>
    <row r="191" spans="1:15" s="27" customFormat="1" ht="25.5" x14ac:dyDescent="0.25">
      <c r="A191" s="42">
        <f t="shared" si="15"/>
        <v>181</v>
      </c>
      <c r="B191" s="15"/>
      <c r="C191" s="314" t="s">
        <v>11</v>
      </c>
      <c r="D191" s="315" t="s">
        <v>25</v>
      </c>
      <c r="E191" s="316" t="s">
        <v>10</v>
      </c>
      <c r="F191" s="317">
        <v>0.25</v>
      </c>
      <c r="G191" s="9">
        <f>G188*0.1*F191</f>
        <v>1.72</v>
      </c>
      <c r="H191" s="3"/>
      <c r="I191" s="24"/>
      <c r="J191" s="25">
        <f>H191</f>
        <v>0</v>
      </c>
      <c r="K191" s="25">
        <f>G191*H191</f>
        <v>0</v>
      </c>
      <c r="L191" s="25"/>
      <c r="M191" s="26">
        <f>K191</f>
        <v>0</v>
      </c>
      <c r="O191" s="357"/>
    </row>
    <row r="192" spans="1:15" s="27" customFormat="1" ht="12.75" x14ac:dyDescent="0.25">
      <c r="A192" s="43">
        <f t="shared" si="16"/>
        <v>182</v>
      </c>
      <c r="B192" s="14" t="s">
        <v>113</v>
      </c>
      <c r="C192" s="8" t="s">
        <v>76</v>
      </c>
      <c r="D192" s="5" t="s">
        <v>22</v>
      </c>
      <c r="E192" s="6" t="s">
        <v>12</v>
      </c>
      <c r="F192" s="7">
        <v>1</v>
      </c>
      <c r="G192" s="18">
        <v>3.2</v>
      </c>
      <c r="H192" s="2"/>
      <c r="I192" s="4"/>
      <c r="J192" s="21">
        <f>I192</f>
        <v>0</v>
      </c>
      <c r="K192" s="21"/>
      <c r="L192" s="21">
        <f>G192*I192</f>
        <v>0</v>
      </c>
      <c r="M192" s="22">
        <f>L192</f>
        <v>0</v>
      </c>
      <c r="O192" s="357"/>
    </row>
    <row r="193" spans="1:15" s="27" customFormat="1" ht="25.5" x14ac:dyDescent="0.25">
      <c r="A193" s="42">
        <f t="shared" si="16"/>
        <v>183</v>
      </c>
      <c r="B193" s="15"/>
      <c r="C193" s="314" t="s">
        <v>130</v>
      </c>
      <c r="D193" s="315" t="s">
        <v>25</v>
      </c>
      <c r="E193" s="316" t="s">
        <v>14</v>
      </c>
      <c r="F193" s="317">
        <v>0.3</v>
      </c>
      <c r="G193" s="9">
        <f>G192*0.1*F193</f>
        <v>0.1</v>
      </c>
      <c r="H193" s="3"/>
      <c r="I193" s="24"/>
      <c r="J193" s="25">
        <f>H193</f>
        <v>0</v>
      </c>
      <c r="K193" s="25">
        <f>G193*H193</f>
        <v>0</v>
      </c>
      <c r="L193" s="25"/>
      <c r="M193" s="26">
        <f>K193</f>
        <v>0</v>
      </c>
      <c r="O193" s="357"/>
    </row>
    <row r="194" spans="1:15" s="27" customFormat="1" ht="26.25" thickBot="1" x14ac:dyDescent="0.3">
      <c r="A194" s="42">
        <f t="shared" si="16"/>
        <v>184</v>
      </c>
      <c r="B194" s="15"/>
      <c r="C194" s="314" t="s">
        <v>13</v>
      </c>
      <c r="D194" s="315" t="s">
        <v>25</v>
      </c>
      <c r="E194" s="316" t="s">
        <v>14</v>
      </c>
      <c r="F194" s="317">
        <v>0.1</v>
      </c>
      <c r="G194" s="9">
        <f>G192*0.1*F194</f>
        <v>0.03</v>
      </c>
      <c r="H194" s="3"/>
      <c r="I194" s="24"/>
      <c r="J194" s="25">
        <f>H194</f>
        <v>0</v>
      </c>
      <c r="K194" s="25">
        <f>G194*H194</f>
        <v>0</v>
      </c>
      <c r="L194" s="25"/>
      <c r="M194" s="26">
        <f>K194</f>
        <v>0</v>
      </c>
      <c r="O194" s="357"/>
    </row>
    <row r="195" spans="1:15" s="67" customFormat="1" ht="14.25" x14ac:dyDescent="0.25">
      <c r="A195" s="56"/>
      <c r="B195" s="57"/>
      <c r="C195" s="58" t="s">
        <v>135</v>
      </c>
      <c r="D195" s="59"/>
      <c r="E195" s="59"/>
      <c r="F195" s="59"/>
      <c r="G195" s="59"/>
      <c r="H195" s="59"/>
      <c r="I195" s="59"/>
      <c r="J195" s="59"/>
      <c r="K195" s="59">
        <f>SUM(K11:K194)</f>
        <v>0</v>
      </c>
      <c r="L195" s="59">
        <f>SUM(L11:L194)</f>
        <v>0</v>
      </c>
      <c r="M195" s="60">
        <f>SUM(M11:M194)</f>
        <v>0</v>
      </c>
      <c r="O195" s="359"/>
    </row>
    <row r="196" spans="1:15" ht="15.75" thickBot="1" x14ac:dyDescent="0.3">
      <c r="A196" s="61"/>
      <c r="B196" s="62"/>
      <c r="C196" s="63" t="s">
        <v>136</v>
      </c>
      <c r="D196" s="64"/>
      <c r="E196" s="65"/>
      <c r="F196" s="65"/>
      <c r="G196" s="65"/>
      <c r="H196" s="65"/>
      <c r="I196" s="65"/>
      <c r="J196" s="66"/>
      <c r="K196" s="65"/>
      <c r="L196" s="65"/>
      <c r="M196" s="72">
        <f>M195*0.22/1.22</f>
        <v>0</v>
      </c>
      <c r="O196" s="360"/>
    </row>
    <row r="197" spans="1:15" x14ac:dyDescent="0.25">
      <c r="A197" s="333" t="s">
        <v>142</v>
      </c>
      <c r="B197" s="334"/>
      <c r="C197" s="334"/>
      <c r="D197" s="334"/>
      <c r="E197" s="334"/>
      <c r="F197" s="334"/>
      <c r="G197" s="335"/>
      <c r="H197" s="336"/>
      <c r="I197" s="336"/>
      <c r="J197" s="337"/>
      <c r="K197" s="337"/>
      <c r="L197" s="337"/>
      <c r="M197" s="338"/>
      <c r="O197" s="360"/>
    </row>
    <row r="198" spans="1:15" x14ac:dyDescent="0.2">
      <c r="A198" s="362">
        <v>1</v>
      </c>
      <c r="B198" s="363"/>
      <c r="C198" s="364" t="s">
        <v>143</v>
      </c>
      <c r="D198" s="365"/>
      <c r="E198" s="366"/>
      <c r="F198" s="366"/>
      <c r="G198" s="367"/>
      <c r="H198" s="368"/>
      <c r="I198" s="369"/>
      <c r="J198" s="370"/>
      <c r="K198" s="370"/>
      <c r="L198" s="370"/>
      <c r="M198" s="371"/>
      <c r="O198" s="360"/>
    </row>
    <row r="199" spans="1:15" x14ac:dyDescent="0.2">
      <c r="A199" s="372">
        <v>2</v>
      </c>
      <c r="B199" s="373"/>
      <c r="C199" s="374" t="s">
        <v>144</v>
      </c>
      <c r="D199" s="375"/>
      <c r="E199" s="376"/>
      <c r="F199" s="376"/>
      <c r="G199" s="377"/>
      <c r="H199" s="368"/>
      <c r="I199" s="369"/>
      <c r="J199" s="370"/>
      <c r="K199" s="370"/>
      <c r="L199" s="370"/>
      <c r="M199" s="371"/>
      <c r="O199" s="360"/>
    </row>
    <row r="200" spans="1:15" x14ac:dyDescent="0.2">
      <c r="A200" s="372">
        <v>3</v>
      </c>
      <c r="B200" s="363"/>
      <c r="C200" s="374" t="s">
        <v>145</v>
      </c>
      <c r="D200" s="375"/>
      <c r="E200" s="376"/>
      <c r="F200" s="376"/>
      <c r="G200" s="377"/>
      <c r="H200" s="368"/>
      <c r="I200" s="369"/>
      <c r="J200" s="370"/>
      <c r="K200" s="370"/>
      <c r="L200" s="370"/>
      <c r="M200" s="371"/>
      <c r="O200" s="360"/>
    </row>
    <row r="201" spans="1:15" ht="25.5" x14ac:dyDescent="0.2">
      <c r="A201" s="372">
        <v>4</v>
      </c>
      <c r="B201" s="373"/>
      <c r="C201" s="374" t="s">
        <v>146</v>
      </c>
      <c r="D201" s="375"/>
      <c r="E201" s="376"/>
      <c r="F201" s="376"/>
      <c r="G201" s="377"/>
      <c r="H201" s="368"/>
      <c r="I201" s="369"/>
      <c r="J201" s="370"/>
      <c r="K201" s="370"/>
      <c r="L201" s="370"/>
      <c r="M201" s="371"/>
      <c r="O201" s="360"/>
    </row>
    <row r="202" spans="1:15" ht="25.5" x14ac:dyDescent="0.2">
      <c r="A202" s="372">
        <v>5</v>
      </c>
      <c r="B202" s="363"/>
      <c r="C202" s="374" t="s">
        <v>147</v>
      </c>
      <c r="D202" s="375"/>
      <c r="E202" s="376"/>
      <c r="F202" s="376"/>
      <c r="G202" s="377"/>
      <c r="H202" s="368"/>
      <c r="I202" s="369"/>
      <c r="J202" s="370"/>
      <c r="K202" s="370"/>
      <c r="L202" s="370"/>
      <c r="M202" s="371"/>
      <c r="O202" s="360"/>
    </row>
    <row r="203" spans="1:15" x14ac:dyDescent="0.2">
      <c r="A203" s="372">
        <v>6</v>
      </c>
      <c r="B203" s="373"/>
      <c r="C203" s="374" t="s">
        <v>148</v>
      </c>
      <c r="D203" s="375"/>
      <c r="E203" s="376"/>
      <c r="F203" s="376"/>
      <c r="G203" s="377"/>
      <c r="H203" s="368"/>
      <c r="I203" s="369"/>
      <c r="J203" s="370"/>
      <c r="K203" s="370"/>
      <c r="L203" s="370"/>
      <c r="M203" s="371"/>
      <c r="O203" s="360"/>
    </row>
    <row r="204" spans="1:15" x14ac:dyDescent="0.2">
      <c r="A204" s="372">
        <v>7</v>
      </c>
      <c r="B204" s="363"/>
      <c r="C204" s="374" t="s">
        <v>149</v>
      </c>
      <c r="D204" s="375"/>
      <c r="E204" s="376"/>
      <c r="F204" s="376"/>
      <c r="G204" s="377"/>
      <c r="H204" s="368"/>
      <c r="I204" s="369"/>
      <c r="J204" s="370"/>
      <c r="K204" s="370"/>
      <c r="L204" s="370"/>
      <c r="M204" s="371"/>
      <c r="O204" s="360"/>
    </row>
    <row r="205" spans="1:15" x14ac:dyDescent="0.2">
      <c r="A205" s="372">
        <v>8</v>
      </c>
      <c r="B205" s="373"/>
      <c r="C205" s="374" t="s">
        <v>150</v>
      </c>
      <c r="D205" s="375"/>
      <c r="E205" s="376"/>
      <c r="F205" s="376"/>
      <c r="G205" s="377"/>
      <c r="H205" s="368"/>
      <c r="I205" s="369"/>
      <c r="J205" s="370"/>
      <c r="K205" s="370"/>
      <c r="L205" s="370"/>
      <c r="M205" s="371"/>
      <c r="O205" s="360"/>
    </row>
    <row r="206" spans="1:15" x14ac:dyDescent="0.2">
      <c r="A206" s="372">
        <v>9</v>
      </c>
      <c r="B206" s="363"/>
      <c r="C206" s="374" t="s">
        <v>151</v>
      </c>
      <c r="D206" s="375"/>
      <c r="E206" s="376"/>
      <c r="F206" s="376"/>
      <c r="G206" s="377"/>
      <c r="H206" s="368"/>
      <c r="I206" s="369"/>
      <c r="J206" s="370"/>
      <c r="K206" s="370"/>
      <c r="L206" s="370"/>
      <c r="M206" s="371"/>
      <c r="O206" s="360"/>
    </row>
    <row r="207" spans="1:15" ht="25.5" x14ac:dyDescent="0.2">
      <c r="A207" s="372">
        <v>10</v>
      </c>
      <c r="B207" s="373"/>
      <c r="C207" s="378" t="s">
        <v>152</v>
      </c>
      <c r="D207" s="379"/>
      <c r="E207" s="376"/>
      <c r="F207" s="376"/>
      <c r="G207" s="377"/>
      <c r="H207" s="368"/>
      <c r="I207" s="369"/>
      <c r="J207" s="370"/>
      <c r="K207" s="370"/>
      <c r="L207" s="370"/>
      <c r="M207" s="371"/>
      <c r="O207" s="360"/>
    </row>
    <row r="208" spans="1:15" ht="15.75" thickBot="1" x14ac:dyDescent="0.25">
      <c r="A208" s="380">
        <v>11</v>
      </c>
      <c r="B208" s="381"/>
      <c r="C208" s="382" t="s">
        <v>153</v>
      </c>
      <c r="D208" s="383"/>
      <c r="E208" s="384"/>
      <c r="F208" s="384"/>
      <c r="G208" s="385"/>
      <c r="H208" s="386"/>
      <c r="I208" s="387"/>
      <c r="J208" s="388"/>
      <c r="K208" s="388"/>
      <c r="L208" s="388"/>
      <c r="M208" s="389"/>
      <c r="O208" s="361"/>
    </row>
    <row r="209" spans="1:13" x14ac:dyDescent="0.25">
      <c r="A209" s="339"/>
      <c r="B209" s="340"/>
      <c r="C209" s="341"/>
      <c r="D209" s="339"/>
      <c r="E209" s="340"/>
      <c r="F209" s="340"/>
      <c r="H209" s="340"/>
      <c r="I209" s="340"/>
      <c r="J209" s="342"/>
      <c r="K209" s="340"/>
      <c r="L209" s="340"/>
      <c r="M209" s="340"/>
    </row>
    <row r="210" spans="1:13" ht="81.75" customHeight="1" x14ac:dyDescent="0.25">
      <c r="A210" s="343" t="s">
        <v>156</v>
      </c>
      <c r="B210" s="344"/>
      <c r="C210" s="344"/>
      <c r="D210" s="344"/>
      <c r="E210" s="344"/>
      <c r="F210" s="344"/>
      <c r="G210" s="344"/>
      <c r="H210" s="344"/>
      <c r="I210" s="344"/>
      <c r="J210" s="344"/>
      <c r="K210" s="344"/>
      <c r="L210" s="344"/>
      <c r="M210" s="344"/>
    </row>
    <row r="211" spans="1:13" ht="62.25" customHeight="1" x14ac:dyDescent="0.2">
      <c r="A211" s="263"/>
      <c r="B211" s="263"/>
      <c r="C211" s="264" t="s">
        <v>154</v>
      </c>
      <c r="D211" s="264"/>
      <c r="E211" s="264"/>
      <c r="F211" s="264"/>
      <c r="G211" s="264"/>
      <c r="H211" s="264"/>
      <c r="I211" s="345"/>
      <c r="J211" s="345"/>
      <c r="K211" s="346"/>
      <c r="L211" s="345"/>
      <c r="M211" s="347"/>
    </row>
  </sheetData>
  <sheetProtection algorithmName="SHA-512" hashValue="ZP4FNXu9QRmCuqYVvh2uVVZQqPFG6k4PI7l5BtFuCL/Oa12qWsXaee8vEH2KXf8AGy3Frg0maOu8Rypx2helgg==" saltValue="a9Vu5flXcJ2U+yLW28FCVA==" spinCount="100000" sheet="1" autoFilter="0"/>
  <autoFilter ref="A10:M208" xr:uid="{00000000-0001-0000-0000-000000000000}"/>
  <mergeCells count="16">
    <mergeCell ref="A210:M210"/>
    <mergeCell ref="O8:O10"/>
    <mergeCell ref="H8:I8"/>
    <mergeCell ref="J8:J9"/>
    <mergeCell ref="K8:L8"/>
    <mergeCell ref="M8:M9"/>
    <mergeCell ref="A4:M4"/>
    <mergeCell ref="A5:M5"/>
    <mergeCell ref="A6:M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scale="2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345D7-7C4F-4418-967C-5A56A579DB10}">
  <dimension ref="A1:P211"/>
  <sheetViews>
    <sheetView view="pageBreakPreview" topLeftCell="A2" zoomScale="90" zoomScaleNormal="85" zoomScaleSheetLayoutView="90" workbookViewId="0">
      <selection activeCell="I14" sqref="I14"/>
    </sheetView>
  </sheetViews>
  <sheetFormatPr defaultColWidth="9.140625" defaultRowHeight="15" x14ac:dyDescent="0.25"/>
  <cols>
    <col min="1" max="1" width="9.5703125" style="17" customWidth="1"/>
    <col min="2" max="2" width="16.42578125" style="16" customWidth="1"/>
    <col min="3" max="3" width="42.85546875" style="11" customWidth="1"/>
    <col min="4" max="4" width="17" style="10" customWidth="1"/>
    <col min="5" max="5" width="9.7109375" style="1" customWidth="1"/>
    <col min="6" max="6" width="9.5703125" style="1" customWidth="1"/>
    <col min="7" max="7" width="10.7109375" style="1" customWidth="1"/>
    <col min="8" max="9" width="13.7109375" style="1" customWidth="1"/>
    <col min="10" max="10" width="14.7109375" style="12" customWidth="1"/>
    <col min="11" max="11" width="13.28515625" style="1" customWidth="1"/>
    <col min="12" max="12" width="14.7109375" style="1" customWidth="1"/>
    <col min="13" max="13" width="17.28515625" style="1" customWidth="1"/>
    <col min="14" max="14" width="2.7109375" style="19" customWidth="1"/>
    <col min="15" max="15" width="62.140625" style="350" customWidth="1"/>
    <col min="16" max="16" width="2.7109375" style="19" customWidth="1"/>
    <col min="17" max="16384" width="9.140625" style="19"/>
  </cols>
  <sheetData>
    <row r="1" spans="1:15" s="265" customFormat="1" ht="15.75" x14ac:dyDescent="0.2">
      <c r="A1" s="263"/>
      <c r="B1" s="263"/>
      <c r="C1" s="264"/>
      <c r="D1" s="264"/>
      <c r="E1" s="264"/>
      <c r="F1" s="264"/>
      <c r="G1" s="264"/>
      <c r="H1" s="264"/>
      <c r="J1" s="266"/>
      <c r="K1" s="267"/>
      <c r="L1" s="267"/>
      <c r="M1" s="268" t="s">
        <v>55</v>
      </c>
      <c r="O1" s="348"/>
    </row>
    <row r="2" spans="1:15" s="265" customFormat="1" ht="15.75" customHeight="1" x14ac:dyDescent="0.2">
      <c r="A2" s="263"/>
      <c r="B2" s="263"/>
      <c r="C2" s="264"/>
      <c r="D2" s="264"/>
      <c r="E2" s="264"/>
      <c r="F2" s="264"/>
      <c r="G2" s="264"/>
      <c r="H2" s="264"/>
      <c r="J2" s="266"/>
      <c r="K2" s="267"/>
      <c r="L2" s="267"/>
      <c r="M2" s="268" t="s">
        <v>56</v>
      </c>
      <c r="O2" s="348"/>
    </row>
    <row r="3" spans="1:15" s="265" customFormat="1" ht="15.75" customHeight="1" x14ac:dyDescent="0.2">
      <c r="A3" s="263"/>
      <c r="B3" s="263"/>
      <c r="C3" s="264"/>
      <c r="D3" s="264"/>
      <c r="E3" s="264"/>
      <c r="F3" s="264"/>
      <c r="G3" s="264"/>
      <c r="H3" s="264"/>
      <c r="J3" s="266"/>
      <c r="K3" s="267"/>
      <c r="L3" s="267"/>
      <c r="M3" s="268"/>
      <c r="O3" s="348"/>
    </row>
    <row r="4" spans="1:15" s="271" customFormat="1" ht="20.25" x14ac:dyDescent="0.25">
      <c r="A4" s="269" t="s">
        <v>57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70"/>
      <c r="O4" s="349"/>
    </row>
    <row r="5" spans="1:15" ht="18.75" customHeight="1" x14ac:dyDescent="0.25">
      <c r="A5" s="74" t="s">
        <v>54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1:15" ht="15.75" x14ac:dyDescent="0.25">
      <c r="A6" s="75" t="s">
        <v>78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</row>
    <row r="7" spans="1:15" ht="16.5" thickBot="1" x14ac:dyDescent="0.3">
      <c r="A7" s="13"/>
      <c r="B7" s="1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</row>
    <row r="8" spans="1:15" ht="15" customHeight="1" x14ac:dyDescent="0.25">
      <c r="A8" s="272" t="s">
        <v>137</v>
      </c>
      <c r="B8" s="273" t="s">
        <v>0</v>
      </c>
      <c r="C8" s="274" t="s">
        <v>4</v>
      </c>
      <c r="D8" s="274" t="s">
        <v>1</v>
      </c>
      <c r="E8" s="274" t="s">
        <v>5</v>
      </c>
      <c r="F8" s="275" t="s">
        <v>6</v>
      </c>
      <c r="G8" s="276" t="s">
        <v>3</v>
      </c>
      <c r="H8" s="277" t="s">
        <v>138</v>
      </c>
      <c r="I8" s="278"/>
      <c r="J8" s="278" t="s">
        <v>139</v>
      </c>
      <c r="K8" s="278" t="s">
        <v>140</v>
      </c>
      <c r="L8" s="278"/>
      <c r="M8" s="279" t="s">
        <v>141</v>
      </c>
      <c r="O8" s="351" t="s">
        <v>155</v>
      </c>
    </row>
    <row r="9" spans="1:15" ht="36.75" customHeight="1" thickBot="1" x14ac:dyDescent="0.3">
      <c r="A9" s="280"/>
      <c r="B9" s="281"/>
      <c r="C9" s="282"/>
      <c r="D9" s="282"/>
      <c r="E9" s="282"/>
      <c r="F9" s="283"/>
      <c r="G9" s="284"/>
      <c r="H9" s="285" t="s">
        <v>2</v>
      </c>
      <c r="I9" s="286" t="s">
        <v>7</v>
      </c>
      <c r="J9" s="287"/>
      <c r="K9" s="286" t="s">
        <v>2</v>
      </c>
      <c r="L9" s="286" t="s">
        <v>7</v>
      </c>
      <c r="M9" s="288"/>
      <c r="O9" s="352"/>
    </row>
    <row r="10" spans="1:15" s="20" customFormat="1" ht="12.75" x14ac:dyDescent="0.25">
      <c r="A10" s="31">
        <v>1</v>
      </c>
      <c r="B10" s="32">
        <v>2</v>
      </c>
      <c r="C10" s="32">
        <v>3</v>
      </c>
      <c r="D10" s="32">
        <v>4</v>
      </c>
      <c r="E10" s="32">
        <v>5</v>
      </c>
      <c r="F10" s="33">
        <v>6</v>
      </c>
      <c r="G10" s="35">
        <v>9</v>
      </c>
      <c r="H10" s="34" t="s">
        <v>26</v>
      </c>
      <c r="I10" s="35" t="s">
        <v>27</v>
      </c>
      <c r="J10" s="34" t="s">
        <v>28</v>
      </c>
      <c r="K10" s="35" t="s">
        <v>29</v>
      </c>
      <c r="L10" s="34" t="s">
        <v>30</v>
      </c>
      <c r="M10" s="35" t="s">
        <v>31</v>
      </c>
      <c r="O10" s="352"/>
    </row>
    <row r="11" spans="1:15" s="23" customFormat="1" ht="12.75" x14ac:dyDescent="0.25">
      <c r="A11" s="289">
        <f>ROW()-10</f>
        <v>1</v>
      </c>
      <c r="B11" s="290" t="s">
        <v>84</v>
      </c>
      <c r="C11" s="291" t="s">
        <v>85</v>
      </c>
      <c r="D11" s="45"/>
      <c r="E11" s="292"/>
      <c r="F11" s="293"/>
      <c r="G11" s="294"/>
      <c r="H11" s="295"/>
      <c r="I11" s="296"/>
      <c r="J11" s="46"/>
      <c r="K11" s="46"/>
      <c r="L11" s="46"/>
      <c r="M11" s="47"/>
      <c r="O11" s="354"/>
    </row>
    <row r="12" spans="1:15" s="23" customFormat="1" ht="12.75" x14ac:dyDescent="0.25">
      <c r="A12" s="297">
        <f>ROW()-10</f>
        <v>2</v>
      </c>
      <c r="B12" s="298" t="s">
        <v>84</v>
      </c>
      <c r="C12" s="299" t="s">
        <v>86</v>
      </c>
      <c r="D12" s="48"/>
      <c r="E12" s="300"/>
      <c r="F12" s="301"/>
      <c r="G12" s="302"/>
      <c r="H12" s="303"/>
      <c r="I12" s="304"/>
      <c r="J12" s="51"/>
      <c r="K12" s="51"/>
      <c r="L12" s="51"/>
      <c r="M12" s="52"/>
      <c r="O12" s="354"/>
    </row>
    <row r="13" spans="1:15" s="44" customFormat="1" ht="25.5" customHeight="1" x14ac:dyDescent="0.25">
      <c r="A13" s="305">
        <f>ROW()-10</f>
        <v>3</v>
      </c>
      <c r="B13" s="306" t="s">
        <v>87</v>
      </c>
      <c r="C13" s="307" t="s">
        <v>88</v>
      </c>
      <c r="D13" s="36"/>
      <c r="E13" s="308"/>
      <c r="F13" s="309"/>
      <c r="G13" s="310"/>
      <c r="H13" s="311"/>
      <c r="I13" s="312"/>
      <c r="J13" s="28"/>
      <c r="K13" s="28"/>
      <c r="L13" s="28"/>
      <c r="M13" s="40"/>
      <c r="O13" s="355"/>
    </row>
    <row r="14" spans="1:15" s="23" customFormat="1" ht="25.5" x14ac:dyDescent="0.25">
      <c r="A14" s="43">
        <f t="shared" ref="A14:A39" si="0">ROW()-10</f>
        <v>4</v>
      </c>
      <c r="B14" s="14" t="s">
        <v>89</v>
      </c>
      <c r="C14" s="55" t="s">
        <v>90</v>
      </c>
      <c r="D14" s="5" t="s">
        <v>22</v>
      </c>
      <c r="E14" s="6" t="s">
        <v>8</v>
      </c>
      <c r="F14" s="7">
        <v>1</v>
      </c>
      <c r="G14" s="313">
        <f>13.94+22.28+4.09+7.34+8.96</f>
        <v>56.61</v>
      </c>
      <c r="H14" s="2"/>
      <c r="I14" s="4"/>
      <c r="J14" s="21">
        <f>I14</f>
        <v>0</v>
      </c>
      <c r="K14" s="21"/>
      <c r="L14" s="21">
        <f>G14*I14</f>
        <v>0</v>
      </c>
      <c r="M14" s="22">
        <f>L14</f>
        <v>0</v>
      </c>
      <c r="O14" s="354"/>
    </row>
    <row r="15" spans="1:15" s="68" customFormat="1" ht="25.5" x14ac:dyDescent="0.25">
      <c r="A15" s="42">
        <f t="shared" si="0"/>
        <v>5</v>
      </c>
      <c r="B15" s="15"/>
      <c r="C15" s="314" t="s">
        <v>91</v>
      </c>
      <c r="D15" s="315" t="s">
        <v>25</v>
      </c>
      <c r="E15" s="316" t="s">
        <v>8</v>
      </c>
      <c r="F15" s="317">
        <v>1.05</v>
      </c>
      <c r="G15" s="318">
        <f>(13.94+22.28)*F15*2</f>
        <v>76.06</v>
      </c>
      <c r="H15" s="3"/>
      <c r="I15" s="24"/>
      <c r="J15" s="25">
        <f t="shared" ref="J15:J27" si="1">H15</f>
        <v>0</v>
      </c>
      <c r="K15" s="25">
        <f t="shared" ref="K15:K27" si="2">G15*H15</f>
        <v>0</v>
      </c>
      <c r="L15" s="25"/>
      <c r="M15" s="26">
        <f t="shared" ref="M15:M27" si="3">K15</f>
        <v>0</v>
      </c>
      <c r="O15" s="356"/>
    </row>
    <row r="16" spans="1:15" s="68" customFormat="1" ht="25.5" x14ac:dyDescent="0.25">
      <c r="A16" s="42">
        <f t="shared" si="0"/>
        <v>6</v>
      </c>
      <c r="B16" s="15" t="s">
        <v>93</v>
      </c>
      <c r="C16" s="314" t="s">
        <v>92</v>
      </c>
      <c r="D16" s="315" t="s">
        <v>25</v>
      </c>
      <c r="E16" s="316" t="s">
        <v>8</v>
      </c>
      <c r="F16" s="317">
        <v>1.05</v>
      </c>
      <c r="G16" s="318">
        <f>4.09*F16*2</f>
        <v>8.59</v>
      </c>
      <c r="H16" s="3"/>
      <c r="I16" s="24"/>
      <c r="J16" s="25">
        <f t="shared" si="1"/>
        <v>0</v>
      </c>
      <c r="K16" s="25">
        <f t="shared" si="2"/>
        <v>0</v>
      </c>
      <c r="L16" s="25"/>
      <c r="M16" s="26">
        <f t="shared" si="3"/>
        <v>0</v>
      </c>
      <c r="O16" s="356"/>
    </row>
    <row r="17" spans="1:15" s="68" customFormat="1" ht="25.5" x14ac:dyDescent="0.25">
      <c r="A17" s="42">
        <f t="shared" si="0"/>
        <v>7</v>
      </c>
      <c r="B17" s="15" t="s">
        <v>94</v>
      </c>
      <c r="C17" s="314" t="s">
        <v>95</v>
      </c>
      <c r="D17" s="315" t="s">
        <v>25</v>
      </c>
      <c r="E17" s="316" t="s">
        <v>8</v>
      </c>
      <c r="F17" s="317">
        <v>1.05</v>
      </c>
      <c r="G17" s="318">
        <f>(7.34+8.96)*F17*2</f>
        <v>34.229999999999997</v>
      </c>
      <c r="H17" s="3"/>
      <c r="I17" s="24"/>
      <c r="J17" s="25">
        <f t="shared" si="1"/>
        <v>0</v>
      </c>
      <c r="K17" s="25">
        <f t="shared" si="2"/>
        <v>0</v>
      </c>
      <c r="L17" s="25"/>
      <c r="M17" s="26">
        <f t="shared" si="3"/>
        <v>0</v>
      </c>
      <c r="O17" s="356"/>
    </row>
    <row r="18" spans="1:15" s="68" customFormat="1" ht="25.5" x14ac:dyDescent="0.25">
      <c r="A18" s="42">
        <f t="shared" si="0"/>
        <v>8</v>
      </c>
      <c r="B18" s="15"/>
      <c r="C18" s="314" t="s">
        <v>39</v>
      </c>
      <c r="D18" s="315" t="s">
        <v>25</v>
      </c>
      <c r="E18" s="316" t="s">
        <v>12</v>
      </c>
      <c r="F18" s="317">
        <v>2.9</v>
      </c>
      <c r="G18" s="318">
        <f>$G$14*F18</f>
        <v>164.17</v>
      </c>
      <c r="H18" s="3"/>
      <c r="I18" s="24"/>
      <c r="J18" s="25">
        <f t="shared" si="1"/>
        <v>0</v>
      </c>
      <c r="K18" s="25">
        <f t="shared" si="2"/>
        <v>0</v>
      </c>
      <c r="L18" s="25"/>
      <c r="M18" s="26">
        <f t="shared" si="3"/>
        <v>0</v>
      </c>
      <c r="O18" s="356"/>
    </row>
    <row r="19" spans="1:15" s="68" customFormat="1" ht="25.5" x14ac:dyDescent="0.25">
      <c r="A19" s="42">
        <f t="shared" si="0"/>
        <v>9</v>
      </c>
      <c r="B19" s="15"/>
      <c r="C19" s="314" t="s">
        <v>35</v>
      </c>
      <c r="D19" s="315" t="s">
        <v>25</v>
      </c>
      <c r="E19" s="316" t="s">
        <v>12</v>
      </c>
      <c r="F19" s="317">
        <v>1.35</v>
      </c>
      <c r="G19" s="318">
        <f>$G$14*F19</f>
        <v>76.42</v>
      </c>
      <c r="H19" s="3"/>
      <c r="I19" s="24"/>
      <c r="J19" s="25">
        <f t="shared" si="1"/>
        <v>0</v>
      </c>
      <c r="K19" s="25">
        <f t="shared" si="2"/>
        <v>0</v>
      </c>
      <c r="L19" s="25"/>
      <c r="M19" s="26">
        <f t="shared" si="3"/>
        <v>0</v>
      </c>
      <c r="O19" s="356"/>
    </row>
    <row r="20" spans="1:15" s="68" customFormat="1" ht="25.5" x14ac:dyDescent="0.25">
      <c r="A20" s="42">
        <f t="shared" si="0"/>
        <v>10</v>
      </c>
      <c r="B20" s="15"/>
      <c r="C20" s="314" t="s">
        <v>40</v>
      </c>
      <c r="D20" s="315" t="s">
        <v>25</v>
      </c>
      <c r="E20" s="316" t="s">
        <v>34</v>
      </c>
      <c r="F20" s="317">
        <v>0.2</v>
      </c>
      <c r="G20" s="318">
        <f>ROUNDUP($G$14*F20,0)</f>
        <v>12</v>
      </c>
      <c r="H20" s="3"/>
      <c r="I20" s="24"/>
      <c r="J20" s="25">
        <f t="shared" si="1"/>
        <v>0</v>
      </c>
      <c r="K20" s="25">
        <f t="shared" si="2"/>
        <v>0</v>
      </c>
      <c r="L20" s="25"/>
      <c r="M20" s="26">
        <f t="shared" si="3"/>
        <v>0</v>
      </c>
      <c r="O20" s="356"/>
    </row>
    <row r="21" spans="1:15" s="68" customFormat="1" ht="25.5" x14ac:dyDescent="0.25">
      <c r="A21" s="42">
        <f t="shared" si="0"/>
        <v>11</v>
      </c>
      <c r="B21" s="15"/>
      <c r="C21" s="314" t="s">
        <v>41</v>
      </c>
      <c r="D21" s="315" t="s">
        <v>25</v>
      </c>
      <c r="E21" s="316" t="s">
        <v>34</v>
      </c>
      <c r="F21" s="317">
        <v>1.7</v>
      </c>
      <c r="G21" s="318">
        <f>ROUNDUP($G$14*F21,0)</f>
        <v>97</v>
      </c>
      <c r="H21" s="3"/>
      <c r="I21" s="24"/>
      <c r="J21" s="25">
        <f t="shared" si="1"/>
        <v>0</v>
      </c>
      <c r="K21" s="25">
        <f t="shared" si="2"/>
        <v>0</v>
      </c>
      <c r="L21" s="25"/>
      <c r="M21" s="26">
        <f t="shared" si="3"/>
        <v>0</v>
      </c>
      <c r="O21" s="356"/>
    </row>
    <row r="22" spans="1:15" s="68" customFormat="1" ht="25.5" x14ac:dyDescent="0.25">
      <c r="A22" s="42">
        <f t="shared" si="0"/>
        <v>12</v>
      </c>
      <c r="B22" s="15"/>
      <c r="C22" s="314" t="s">
        <v>42</v>
      </c>
      <c r="D22" s="315" t="s">
        <v>25</v>
      </c>
      <c r="E22" s="316" t="s">
        <v>34</v>
      </c>
      <c r="F22" s="317">
        <v>0.7</v>
      </c>
      <c r="G22" s="318">
        <f>ROUNDUP($G$14*F22,0)</f>
        <v>40</v>
      </c>
      <c r="H22" s="3"/>
      <c r="I22" s="24"/>
      <c r="J22" s="25">
        <f t="shared" si="1"/>
        <v>0</v>
      </c>
      <c r="K22" s="25">
        <f t="shared" si="2"/>
        <v>0</v>
      </c>
      <c r="L22" s="25"/>
      <c r="M22" s="26">
        <f t="shared" si="3"/>
        <v>0</v>
      </c>
      <c r="O22" s="356"/>
    </row>
    <row r="23" spans="1:15" s="68" customFormat="1" ht="25.5" x14ac:dyDescent="0.25">
      <c r="A23" s="42">
        <f t="shared" si="0"/>
        <v>13</v>
      </c>
      <c r="B23" s="15"/>
      <c r="C23" s="314" t="s">
        <v>43</v>
      </c>
      <c r="D23" s="315" t="s">
        <v>25</v>
      </c>
      <c r="E23" s="316" t="s">
        <v>34</v>
      </c>
      <c r="F23" s="317">
        <v>0.7</v>
      </c>
      <c r="G23" s="318">
        <f>ROUNDUP($G$14*F23,0)</f>
        <v>40</v>
      </c>
      <c r="H23" s="3"/>
      <c r="I23" s="24"/>
      <c r="J23" s="25">
        <f t="shared" si="1"/>
        <v>0</v>
      </c>
      <c r="K23" s="25">
        <f t="shared" si="2"/>
        <v>0</v>
      </c>
      <c r="L23" s="25"/>
      <c r="M23" s="26">
        <f t="shared" si="3"/>
        <v>0</v>
      </c>
      <c r="O23" s="356"/>
    </row>
    <row r="24" spans="1:15" s="68" customFormat="1" ht="25.5" x14ac:dyDescent="0.25">
      <c r="A24" s="42">
        <f t="shared" si="0"/>
        <v>14</v>
      </c>
      <c r="B24" s="15"/>
      <c r="C24" s="314" t="s">
        <v>36</v>
      </c>
      <c r="D24" s="315" t="s">
        <v>25</v>
      </c>
      <c r="E24" s="316" t="s">
        <v>34</v>
      </c>
      <c r="F24" s="317">
        <v>23</v>
      </c>
      <c r="G24" s="318">
        <f>ROUNDUP($G$14*F24*2,0)</f>
        <v>2605</v>
      </c>
      <c r="H24" s="3"/>
      <c r="I24" s="24"/>
      <c r="J24" s="25">
        <f t="shared" si="1"/>
        <v>0</v>
      </c>
      <c r="K24" s="25">
        <f t="shared" si="2"/>
        <v>0</v>
      </c>
      <c r="L24" s="25"/>
      <c r="M24" s="26">
        <f t="shared" si="3"/>
        <v>0</v>
      </c>
      <c r="O24" s="356"/>
    </row>
    <row r="25" spans="1:15" s="68" customFormat="1" ht="25.5" x14ac:dyDescent="0.25">
      <c r="A25" s="42">
        <f t="shared" si="0"/>
        <v>15</v>
      </c>
      <c r="B25" s="15"/>
      <c r="C25" s="314" t="s">
        <v>44</v>
      </c>
      <c r="D25" s="315" t="s">
        <v>25</v>
      </c>
      <c r="E25" s="316" t="s">
        <v>34</v>
      </c>
      <c r="F25" s="317">
        <v>0.7</v>
      </c>
      <c r="G25" s="318">
        <f>ROUNDUP($G$14*F25*2,0)</f>
        <v>80</v>
      </c>
      <c r="H25" s="3"/>
      <c r="I25" s="24"/>
      <c r="J25" s="25">
        <f t="shared" si="1"/>
        <v>0</v>
      </c>
      <c r="K25" s="25">
        <f t="shared" si="2"/>
        <v>0</v>
      </c>
      <c r="L25" s="25"/>
      <c r="M25" s="26">
        <f t="shared" si="3"/>
        <v>0</v>
      </c>
      <c r="O25" s="356"/>
    </row>
    <row r="26" spans="1:15" s="68" customFormat="1" ht="25.5" x14ac:dyDescent="0.25">
      <c r="A26" s="42">
        <f t="shared" si="0"/>
        <v>16</v>
      </c>
      <c r="B26" s="15"/>
      <c r="C26" s="314" t="s">
        <v>37</v>
      </c>
      <c r="D26" s="315" t="s">
        <v>25</v>
      </c>
      <c r="E26" s="316" t="s">
        <v>10</v>
      </c>
      <c r="F26" s="317">
        <v>0.35</v>
      </c>
      <c r="G26" s="318">
        <f>$G$14*F26</f>
        <v>19.809999999999999</v>
      </c>
      <c r="H26" s="3"/>
      <c r="I26" s="24"/>
      <c r="J26" s="25">
        <f t="shared" si="1"/>
        <v>0</v>
      </c>
      <c r="K26" s="25">
        <f t="shared" si="2"/>
        <v>0</v>
      </c>
      <c r="L26" s="25"/>
      <c r="M26" s="26">
        <f t="shared" si="3"/>
        <v>0</v>
      </c>
      <c r="O26" s="356"/>
    </row>
    <row r="27" spans="1:15" s="68" customFormat="1" ht="25.5" x14ac:dyDescent="0.25">
      <c r="A27" s="42">
        <f t="shared" si="0"/>
        <v>17</v>
      </c>
      <c r="B27" s="15"/>
      <c r="C27" s="314" t="s">
        <v>38</v>
      </c>
      <c r="D27" s="315" t="s">
        <v>25</v>
      </c>
      <c r="E27" s="316" t="s">
        <v>12</v>
      </c>
      <c r="F27" s="317">
        <v>1.2</v>
      </c>
      <c r="G27" s="318">
        <f>$G$14*F27</f>
        <v>67.930000000000007</v>
      </c>
      <c r="H27" s="3"/>
      <c r="I27" s="24"/>
      <c r="J27" s="25">
        <f t="shared" si="1"/>
        <v>0</v>
      </c>
      <c r="K27" s="25">
        <f t="shared" si="2"/>
        <v>0</v>
      </c>
      <c r="L27" s="25"/>
      <c r="M27" s="26">
        <f t="shared" si="3"/>
        <v>0</v>
      </c>
      <c r="O27" s="356"/>
    </row>
    <row r="28" spans="1:15" s="23" customFormat="1" ht="12.75" x14ac:dyDescent="0.25">
      <c r="A28" s="319">
        <f t="shared" si="0"/>
        <v>18</v>
      </c>
      <c r="B28" s="320" t="s">
        <v>96</v>
      </c>
      <c r="C28" s="321" t="s">
        <v>97</v>
      </c>
      <c r="D28" s="322" t="s">
        <v>22</v>
      </c>
      <c r="E28" s="323" t="s">
        <v>8</v>
      </c>
      <c r="F28" s="143">
        <v>1</v>
      </c>
      <c r="G28" s="313">
        <v>8.6999999999999993</v>
      </c>
      <c r="H28" s="2"/>
      <c r="I28" s="4"/>
      <c r="J28" s="21">
        <f>I28</f>
        <v>0</v>
      </c>
      <c r="K28" s="21"/>
      <c r="L28" s="21">
        <f>G28*I28</f>
        <v>0</v>
      </c>
      <c r="M28" s="22">
        <f>L28</f>
        <v>0</v>
      </c>
      <c r="O28" s="354"/>
    </row>
    <row r="29" spans="1:15" s="68" customFormat="1" ht="25.5" x14ac:dyDescent="0.25">
      <c r="A29" s="324">
        <f t="shared" si="0"/>
        <v>19</v>
      </c>
      <c r="B29" s="325"/>
      <c r="C29" s="314" t="s">
        <v>98</v>
      </c>
      <c r="D29" s="315" t="s">
        <v>25</v>
      </c>
      <c r="E29" s="316" t="s">
        <v>12</v>
      </c>
      <c r="F29" s="317">
        <v>1.1000000000000001</v>
      </c>
      <c r="G29" s="318">
        <f>G28*9*F29</f>
        <v>86.13</v>
      </c>
      <c r="H29" s="3"/>
      <c r="I29" s="24"/>
      <c r="J29" s="25">
        <f>H29</f>
        <v>0</v>
      </c>
      <c r="K29" s="25">
        <f>G29*H29</f>
        <v>0</v>
      </c>
      <c r="L29" s="25"/>
      <c r="M29" s="26">
        <f>K29</f>
        <v>0</v>
      </c>
      <c r="O29" s="356"/>
    </row>
    <row r="30" spans="1:15" s="23" customFormat="1" ht="12.75" x14ac:dyDescent="0.25">
      <c r="A30" s="43">
        <f t="shared" si="0"/>
        <v>20</v>
      </c>
      <c r="B30" s="14" t="s">
        <v>99</v>
      </c>
      <c r="C30" s="55" t="s">
        <v>100</v>
      </c>
      <c r="D30" s="5" t="s">
        <v>22</v>
      </c>
      <c r="E30" s="6" t="s">
        <v>8</v>
      </c>
      <c r="F30" s="7">
        <v>1</v>
      </c>
      <c r="G30" s="313">
        <f>39+16.6+12</f>
        <v>67.599999999999994</v>
      </c>
      <c r="H30" s="2"/>
      <c r="I30" s="4"/>
      <c r="J30" s="21">
        <f>I30</f>
        <v>0</v>
      </c>
      <c r="K30" s="21"/>
      <c r="L30" s="21">
        <f>G30*I30</f>
        <v>0</v>
      </c>
      <c r="M30" s="22">
        <f>L30</f>
        <v>0</v>
      </c>
      <c r="O30" s="354"/>
    </row>
    <row r="31" spans="1:15" s="68" customFormat="1" ht="25.5" x14ac:dyDescent="0.25">
      <c r="A31" s="42">
        <f t="shared" si="0"/>
        <v>21</v>
      </c>
      <c r="B31" s="15"/>
      <c r="C31" s="326" t="s">
        <v>13</v>
      </c>
      <c r="D31" s="315" t="s">
        <v>25</v>
      </c>
      <c r="E31" s="316" t="s">
        <v>14</v>
      </c>
      <c r="F31" s="317">
        <v>0.1</v>
      </c>
      <c r="G31" s="318">
        <f>G30*F31</f>
        <v>6.76</v>
      </c>
      <c r="H31" s="3"/>
      <c r="I31" s="24"/>
      <c r="J31" s="25">
        <f>H31</f>
        <v>0</v>
      </c>
      <c r="K31" s="25">
        <f>G31*H31</f>
        <v>0</v>
      </c>
      <c r="L31" s="25"/>
      <c r="M31" s="26">
        <f>K31</f>
        <v>0</v>
      </c>
      <c r="O31" s="356"/>
    </row>
    <row r="32" spans="1:15" s="68" customFormat="1" ht="25.5" x14ac:dyDescent="0.25">
      <c r="A32" s="42">
        <f t="shared" si="0"/>
        <v>22</v>
      </c>
      <c r="B32" s="15"/>
      <c r="C32" s="326" t="s">
        <v>101</v>
      </c>
      <c r="D32" s="315" t="s">
        <v>25</v>
      </c>
      <c r="E32" s="316" t="s">
        <v>10</v>
      </c>
      <c r="F32" s="317">
        <v>1.2</v>
      </c>
      <c r="G32" s="318">
        <f>G30*F32</f>
        <v>81.12</v>
      </c>
      <c r="H32" s="3"/>
      <c r="I32" s="24"/>
      <c r="J32" s="25">
        <f>H32</f>
        <v>0</v>
      </c>
      <c r="K32" s="25">
        <f>G32*H32</f>
        <v>0</v>
      </c>
      <c r="L32" s="25"/>
      <c r="M32" s="26">
        <f>K32</f>
        <v>0</v>
      </c>
      <c r="O32" s="356"/>
    </row>
    <row r="33" spans="1:15" s="68" customFormat="1" ht="25.5" x14ac:dyDescent="0.25">
      <c r="A33" s="42">
        <f t="shared" si="0"/>
        <v>23</v>
      </c>
      <c r="B33" s="15"/>
      <c r="C33" s="314" t="s">
        <v>23</v>
      </c>
      <c r="D33" s="315" t="s">
        <v>25</v>
      </c>
      <c r="E33" s="316" t="s">
        <v>10</v>
      </c>
      <c r="F33" s="317">
        <v>1.7</v>
      </c>
      <c r="G33" s="318">
        <f>G30*F33</f>
        <v>114.92</v>
      </c>
      <c r="H33" s="3"/>
      <c r="I33" s="24"/>
      <c r="J33" s="25">
        <f>H33</f>
        <v>0</v>
      </c>
      <c r="K33" s="25">
        <f>G33*H33</f>
        <v>0</v>
      </c>
      <c r="L33" s="25"/>
      <c r="M33" s="26">
        <f>K33</f>
        <v>0</v>
      </c>
      <c r="O33" s="356"/>
    </row>
    <row r="34" spans="1:15" s="23" customFormat="1" ht="38.25" x14ac:dyDescent="0.25">
      <c r="A34" s="43">
        <f t="shared" si="0"/>
        <v>24</v>
      </c>
      <c r="B34" s="14" t="s">
        <v>102</v>
      </c>
      <c r="C34" s="8" t="s">
        <v>103</v>
      </c>
      <c r="D34" s="5" t="s">
        <v>22</v>
      </c>
      <c r="E34" s="6" t="s">
        <v>8</v>
      </c>
      <c r="F34" s="7">
        <v>1</v>
      </c>
      <c r="G34" s="313">
        <f>39+16.6+12+8.7</f>
        <v>76.3</v>
      </c>
      <c r="H34" s="2"/>
      <c r="I34" s="4"/>
      <c r="J34" s="21">
        <f>I34</f>
        <v>0</v>
      </c>
      <c r="K34" s="21"/>
      <c r="L34" s="21">
        <f>G34*I34</f>
        <v>0</v>
      </c>
      <c r="M34" s="22">
        <f>L34</f>
        <v>0</v>
      </c>
      <c r="O34" s="354"/>
    </row>
    <row r="35" spans="1:15" s="68" customFormat="1" ht="25.5" x14ac:dyDescent="0.25">
      <c r="A35" s="42">
        <f t="shared" si="0"/>
        <v>25</v>
      </c>
      <c r="B35" s="15"/>
      <c r="C35" s="314" t="s">
        <v>13</v>
      </c>
      <c r="D35" s="315" t="s">
        <v>25</v>
      </c>
      <c r="E35" s="316" t="s">
        <v>14</v>
      </c>
      <c r="F35" s="317">
        <v>0.1</v>
      </c>
      <c r="G35" s="318">
        <f>G34*F35</f>
        <v>7.63</v>
      </c>
      <c r="H35" s="3"/>
      <c r="I35" s="24"/>
      <c r="J35" s="25">
        <f>H35</f>
        <v>0</v>
      </c>
      <c r="K35" s="25">
        <f>G35*H35</f>
        <v>0</v>
      </c>
      <c r="L35" s="25"/>
      <c r="M35" s="26">
        <f>K35</f>
        <v>0</v>
      </c>
      <c r="O35" s="356"/>
    </row>
    <row r="36" spans="1:15" s="68" customFormat="1" ht="25.5" x14ac:dyDescent="0.25">
      <c r="A36" s="42">
        <f t="shared" si="0"/>
        <v>26</v>
      </c>
      <c r="B36" s="15"/>
      <c r="C36" s="314" t="s">
        <v>104</v>
      </c>
      <c r="D36" s="315" t="s">
        <v>25</v>
      </c>
      <c r="E36" s="316" t="s">
        <v>14</v>
      </c>
      <c r="F36" s="317">
        <v>0.3</v>
      </c>
      <c r="G36" s="318">
        <f>39*F36</f>
        <v>11.7</v>
      </c>
      <c r="H36" s="3"/>
      <c r="I36" s="24"/>
      <c r="J36" s="25">
        <f>H36</f>
        <v>0</v>
      </c>
      <c r="K36" s="25">
        <f>G36*H36</f>
        <v>0</v>
      </c>
      <c r="L36" s="25"/>
      <c r="M36" s="26">
        <f>K36</f>
        <v>0</v>
      </c>
      <c r="O36" s="356"/>
    </row>
    <row r="37" spans="1:15" s="68" customFormat="1" ht="25.5" x14ac:dyDescent="0.25">
      <c r="A37" s="42">
        <f t="shared" si="0"/>
        <v>27</v>
      </c>
      <c r="B37" s="15"/>
      <c r="C37" s="314" t="s">
        <v>105</v>
      </c>
      <c r="D37" s="315" t="s">
        <v>25</v>
      </c>
      <c r="E37" s="316" t="s">
        <v>14</v>
      </c>
      <c r="F37" s="317">
        <v>0.3</v>
      </c>
      <c r="G37" s="318">
        <f>16.6*F37</f>
        <v>4.9800000000000004</v>
      </c>
      <c r="H37" s="3"/>
      <c r="I37" s="24"/>
      <c r="J37" s="25">
        <f>H37</f>
        <v>0</v>
      </c>
      <c r="K37" s="25">
        <f>G37*H37</f>
        <v>0</v>
      </c>
      <c r="L37" s="25"/>
      <c r="M37" s="26">
        <f>K37</f>
        <v>0</v>
      </c>
      <c r="O37" s="356"/>
    </row>
    <row r="38" spans="1:15" s="68" customFormat="1" ht="25.5" x14ac:dyDescent="0.25">
      <c r="A38" s="42">
        <f t="shared" si="0"/>
        <v>28</v>
      </c>
      <c r="B38" s="38"/>
      <c r="C38" s="314" t="s">
        <v>106</v>
      </c>
      <c r="D38" s="315" t="s">
        <v>25</v>
      </c>
      <c r="E38" s="316" t="s">
        <v>14</v>
      </c>
      <c r="F38" s="317">
        <v>0.3</v>
      </c>
      <c r="G38" s="318">
        <f>12*F38</f>
        <v>3.6</v>
      </c>
      <c r="H38" s="3"/>
      <c r="I38" s="24"/>
      <c r="J38" s="25">
        <f>H38</f>
        <v>0</v>
      </c>
      <c r="K38" s="25">
        <f>G38*H38</f>
        <v>0</v>
      </c>
      <c r="L38" s="25"/>
      <c r="M38" s="26">
        <f>K38</f>
        <v>0</v>
      </c>
      <c r="O38" s="356"/>
    </row>
    <row r="39" spans="1:15" s="68" customFormat="1" ht="51" x14ac:dyDescent="0.25">
      <c r="A39" s="42">
        <f t="shared" si="0"/>
        <v>29</v>
      </c>
      <c r="B39" s="38" t="s">
        <v>126</v>
      </c>
      <c r="C39" s="314" t="s">
        <v>107</v>
      </c>
      <c r="D39" s="315" t="s">
        <v>25</v>
      </c>
      <c r="E39" s="316" t="s">
        <v>14</v>
      </c>
      <c r="F39" s="317">
        <v>0.3</v>
      </c>
      <c r="G39" s="318">
        <f>(8.7+13.9*0.32)*F39</f>
        <v>3.94</v>
      </c>
      <c r="H39" s="3"/>
      <c r="I39" s="24"/>
      <c r="J39" s="25">
        <f>H39</f>
        <v>0</v>
      </c>
      <c r="K39" s="25">
        <f>G39*H39</f>
        <v>0</v>
      </c>
      <c r="L39" s="25"/>
      <c r="M39" s="26">
        <f>K39</f>
        <v>0</v>
      </c>
      <c r="O39" s="356"/>
    </row>
    <row r="40" spans="1:15" s="44" customFormat="1" ht="25.5" customHeight="1" x14ac:dyDescent="0.25">
      <c r="A40" s="256">
        <f>ROW()-10</f>
        <v>30</v>
      </c>
      <c r="B40" s="306" t="s">
        <v>110</v>
      </c>
      <c r="C40" s="307" t="s">
        <v>109</v>
      </c>
      <c r="D40" s="36"/>
      <c r="E40" s="308"/>
      <c r="F40" s="309"/>
      <c r="G40" s="310"/>
      <c r="H40" s="39"/>
      <c r="I40" s="37"/>
      <c r="J40" s="28"/>
      <c r="K40" s="28"/>
      <c r="L40" s="28"/>
      <c r="M40" s="40"/>
      <c r="O40" s="355"/>
    </row>
    <row r="41" spans="1:15" s="23" customFormat="1" ht="12.75" x14ac:dyDescent="0.25">
      <c r="A41" s="43">
        <f t="shared" ref="A41:A66" si="4">ROW()-10</f>
        <v>31</v>
      </c>
      <c r="B41" s="14" t="s">
        <v>110</v>
      </c>
      <c r="C41" s="55" t="s">
        <v>21</v>
      </c>
      <c r="D41" s="5" t="s">
        <v>22</v>
      </c>
      <c r="E41" s="6" t="s">
        <v>8</v>
      </c>
      <c r="F41" s="7">
        <v>1</v>
      </c>
      <c r="G41" s="313">
        <v>189.61</v>
      </c>
      <c r="H41" s="2"/>
      <c r="I41" s="4"/>
      <c r="J41" s="21">
        <f>I41</f>
        <v>0</v>
      </c>
      <c r="K41" s="21"/>
      <c r="L41" s="21">
        <f>G41*I41</f>
        <v>0</v>
      </c>
      <c r="M41" s="22">
        <f>L41</f>
        <v>0</v>
      </c>
      <c r="O41" s="354"/>
    </row>
    <row r="42" spans="1:15" s="68" customFormat="1" ht="25.5" x14ac:dyDescent="0.25">
      <c r="A42" s="42">
        <f t="shared" si="4"/>
        <v>32</v>
      </c>
      <c r="B42" s="15"/>
      <c r="C42" s="326" t="s">
        <v>13</v>
      </c>
      <c r="D42" s="315" t="s">
        <v>25</v>
      </c>
      <c r="E42" s="316" t="s">
        <v>14</v>
      </c>
      <c r="F42" s="317">
        <v>0.1</v>
      </c>
      <c r="G42" s="318">
        <f>G41*F42</f>
        <v>18.96</v>
      </c>
      <c r="H42" s="3"/>
      <c r="I42" s="24"/>
      <c r="J42" s="25">
        <f>H42</f>
        <v>0</v>
      </c>
      <c r="K42" s="25">
        <f>G42*H42</f>
        <v>0</v>
      </c>
      <c r="L42" s="25"/>
      <c r="M42" s="26">
        <f>K42</f>
        <v>0</v>
      </c>
      <c r="O42" s="356"/>
    </row>
    <row r="43" spans="1:15" s="68" customFormat="1" ht="25.5" x14ac:dyDescent="0.25">
      <c r="A43" s="42">
        <f t="shared" si="4"/>
        <v>33</v>
      </c>
      <c r="B43" s="15"/>
      <c r="C43" s="326" t="s">
        <v>52</v>
      </c>
      <c r="D43" s="315" t="s">
        <v>25</v>
      </c>
      <c r="E43" s="316" t="s">
        <v>10</v>
      </c>
      <c r="F43" s="317">
        <v>1.2</v>
      </c>
      <c r="G43" s="318">
        <f>G41*F43</f>
        <v>227.53</v>
      </c>
      <c r="H43" s="3"/>
      <c r="I43" s="24"/>
      <c r="J43" s="25">
        <f>H43</f>
        <v>0</v>
      </c>
      <c r="K43" s="25">
        <f>G43*H43</f>
        <v>0</v>
      </c>
      <c r="L43" s="25"/>
      <c r="M43" s="26">
        <f>K43</f>
        <v>0</v>
      </c>
      <c r="O43" s="356"/>
    </row>
    <row r="44" spans="1:15" s="68" customFormat="1" ht="25.5" x14ac:dyDescent="0.25">
      <c r="A44" s="42">
        <f t="shared" si="4"/>
        <v>34</v>
      </c>
      <c r="B44" s="15"/>
      <c r="C44" s="314" t="s">
        <v>23</v>
      </c>
      <c r="D44" s="315" t="s">
        <v>25</v>
      </c>
      <c r="E44" s="316" t="s">
        <v>10</v>
      </c>
      <c r="F44" s="317">
        <v>1.7</v>
      </c>
      <c r="G44" s="318">
        <f>G41*F44</f>
        <v>322.33999999999997</v>
      </c>
      <c r="H44" s="3"/>
      <c r="I44" s="24"/>
      <c r="J44" s="25">
        <f>H44</f>
        <v>0</v>
      </c>
      <c r="K44" s="25">
        <f>G44*H44</f>
        <v>0</v>
      </c>
      <c r="L44" s="25"/>
      <c r="M44" s="26">
        <f>K44</f>
        <v>0</v>
      </c>
      <c r="O44" s="356"/>
    </row>
    <row r="45" spans="1:15" s="23" customFormat="1" ht="12.75" x14ac:dyDescent="0.25">
      <c r="A45" s="43">
        <f t="shared" si="4"/>
        <v>35</v>
      </c>
      <c r="B45" s="14" t="s">
        <v>110</v>
      </c>
      <c r="C45" s="8" t="s">
        <v>15</v>
      </c>
      <c r="D45" s="5" t="s">
        <v>22</v>
      </c>
      <c r="E45" s="6" t="s">
        <v>8</v>
      </c>
      <c r="F45" s="7">
        <v>1</v>
      </c>
      <c r="G45" s="313">
        <v>112.43</v>
      </c>
      <c r="H45" s="2"/>
      <c r="I45" s="4"/>
      <c r="J45" s="21">
        <f>I45</f>
        <v>0</v>
      </c>
      <c r="K45" s="21"/>
      <c r="L45" s="21">
        <f>G45*I45</f>
        <v>0</v>
      </c>
      <c r="M45" s="22">
        <f>L45</f>
        <v>0</v>
      </c>
      <c r="O45" s="354"/>
    </row>
    <row r="46" spans="1:15" s="68" customFormat="1" ht="25.5" x14ac:dyDescent="0.25">
      <c r="A46" s="42">
        <f t="shared" si="4"/>
        <v>36</v>
      </c>
      <c r="B46" s="15"/>
      <c r="C46" s="314" t="s">
        <v>13</v>
      </c>
      <c r="D46" s="315" t="s">
        <v>25</v>
      </c>
      <c r="E46" s="316" t="s">
        <v>14</v>
      </c>
      <c r="F46" s="317">
        <v>0.1</v>
      </c>
      <c r="G46" s="318">
        <f>G45*F46</f>
        <v>11.24</v>
      </c>
      <c r="H46" s="3"/>
      <c r="I46" s="24"/>
      <c r="J46" s="25">
        <f>H46</f>
        <v>0</v>
      </c>
      <c r="K46" s="25">
        <f>G46*H46</f>
        <v>0</v>
      </c>
      <c r="L46" s="25"/>
      <c r="M46" s="26">
        <f>K46</f>
        <v>0</v>
      </c>
      <c r="O46" s="356"/>
    </row>
    <row r="47" spans="1:15" s="68" customFormat="1" ht="25.5" x14ac:dyDescent="0.25">
      <c r="A47" s="42">
        <f t="shared" si="4"/>
        <v>37</v>
      </c>
      <c r="B47" s="15"/>
      <c r="C47" s="314" t="s">
        <v>104</v>
      </c>
      <c r="D47" s="315" t="s">
        <v>25</v>
      </c>
      <c r="E47" s="316" t="s">
        <v>14</v>
      </c>
      <c r="F47" s="317">
        <v>0.3</v>
      </c>
      <c r="G47" s="318">
        <f>100.68*F47</f>
        <v>30.2</v>
      </c>
      <c r="H47" s="3"/>
      <c r="I47" s="24"/>
      <c r="J47" s="25">
        <f>H47</f>
        <v>0</v>
      </c>
      <c r="K47" s="25">
        <f>G47*H47</f>
        <v>0</v>
      </c>
      <c r="L47" s="25"/>
      <c r="M47" s="26">
        <f>K47</f>
        <v>0</v>
      </c>
      <c r="O47" s="356"/>
    </row>
    <row r="48" spans="1:15" s="68" customFormat="1" ht="25.5" x14ac:dyDescent="0.25">
      <c r="A48" s="42">
        <f t="shared" si="4"/>
        <v>38</v>
      </c>
      <c r="B48" s="15"/>
      <c r="C48" s="314" t="s">
        <v>105</v>
      </c>
      <c r="D48" s="315" t="s">
        <v>25</v>
      </c>
      <c r="E48" s="316" t="s">
        <v>14</v>
      </c>
      <c r="F48" s="317">
        <v>0.3</v>
      </c>
      <c r="G48" s="318">
        <f>11.75*F48</f>
        <v>3.53</v>
      </c>
      <c r="H48" s="3"/>
      <c r="I48" s="24"/>
      <c r="J48" s="25">
        <f>H48</f>
        <v>0</v>
      </c>
      <c r="K48" s="25">
        <f>G48*H48</f>
        <v>0</v>
      </c>
      <c r="L48" s="25"/>
      <c r="M48" s="26">
        <f>K48</f>
        <v>0</v>
      </c>
      <c r="O48" s="356"/>
    </row>
    <row r="49" spans="1:15" s="23" customFormat="1" ht="38.25" x14ac:dyDescent="0.25">
      <c r="A49" s="43">
        <f t="shared" si="4"/>
        <v>39</v>
      </c>
      <c r="B49" s="14" t="s">
        <v>110</v>
      </c>
      <c r="C49" s="8" t="s">
        <v>134</v>
      </c>
      <c r="D49" s="5" t="s">
        <v>22</v>
      </c>
      <c r="E49" s="6" t="s">
        <v>8</v>
      </c>
      <c r="F49" s="7">
        <v>1</v>
      </c>
      <c r="G49" s="313">
        <v>50.99</v>
      </c>
      <c r="H49" s="2"/>
      <c r="I49" s="4"/>
      <c r="J49" s="21">
        <f>I49</f>
        <v>0</v>
      </c>
      <c r="K49" s="21"/>
      <c r="L49" s="21">
        <f>G49*I49</f>
        <v>0</v>
      </c>
      <c r="M49" s="22">
        <f>L49</f>
        <v>0</v>
      </c>
      <c r="O49" s="354"/>
    </row>
    <row r="50" spans="1:15" s="68" customFormat="1" ht="25.5" x14ac:dyDescent="0.25">
      <c r="A50" s="42">
        <f t="shared" si="4"/>
        <v>40</v>
      </c>
      <c r="B50" s="15"/>
      <c r="C50" s="314" t="s">
        <v>58</v>
      </c>
      <c r="D50" s="315" t="s">
        <v>25</v>
      </c>
      <c r="E50" s="316" t="s">
        <v>8</v>
      </c>
      <c r="F50" s="317">
        <v>1.07</v>
      </c>
      <c r="G50" s="318">
        <f>G49*F50</f>
        <v>54.56</v>
      </c>
      <c r="H50" s="3"/>
      <c r="I50" s="24"/>
      <c r="J50" s="25">
        <f>H50</f>
        <v>0</v>
      </c>
      <c r="K50" s="25">
        <f>G50*H50</f>
        <v>0</v>
      </c>
      <c r="L50" s="25"/>
      <c r="M50" s="26">
        <f>K50</f>
        <v>0</v>
      </c>
      <c r="O50" s="356"/>
    </row>
    <row r="51" spans="1:15" s="68" customFormat="1" ht="25.5" x14ac:dyDescent="0.25">
      <c r="A51" s="42">
        <f t="shared" si="4"/>
        <v>41</v>
      </c>
      <c r="B51" s="15"/>
      <c r="C51" s="314" t="s">
        <v>9</v>
      </c>
      <c r="D51" s="315" t="s">
        <v>25</v>
      </c>
      <c r="E51" s="316" t="s">
        <v>10</v>
      </c>
      <c r="F51" s="317">
        <v>12</v>
      </c>
      <c r="G51" s="318">
        <f>G49*0.3*F51</f>
        <v>183.56</v>
      </c>
      <c r="H51" s="3"/>
      <c r="I51" s="24"/>
      <c r="J51" s="25">
        <f>H51</f>
        <v>0</v>
      </c>
      <c r="K51" s="25">
        <f>G51*H51</f>
        <v>0</v>
      </c>
      <c r="L51" s="25"/>
      <c r="M51" s="26">
        <f>K51</f>
        <v>0</v>
      </c>
      <c r="O51" s="356"/>
    </row>
    <row r="52" spans="1:15" s="68" customFormat="1" ht="25.5" x14ac:dyDescent="0.25">
      <c r="A52" s="42">
        <f t="shared" si="4"/>
        <v>42</v>
      </c>
      <c r="B52" s="15"/>
      <c r="C52" s="314" t="s">
        <v>11</v>
      </c>
      <c r="D52" s="315" t="s">
        <v>25</v>
      </c>
      <c r="E52" s="316" t="s">
        <v>10</v>
      </c>
      <c r="F52" s="317">
        <v>0.25</v>
      </c>
      <c r="G52" s="318">
        <f>G49*0.3*F52</f>
        <v>3.82</v>
      </c>
      <c r="H52" s="3"/>
      <c r="I52" s="24"/>
      <c r="J52" s="25">
        <f>H52</f>
        <v>0</v>
      </c>
      <c r="K52" s="25">
        <f>G52*H52</f>
        <v>0</v>
      </c>
      <c r="L52" s="25"/>
      <c r="M52" s="26">
        <f>K52</f>
        <v>0</v>
      </c>
      <c r="O52" s="356"/>
    </row>
    <row r="53" spans="1:15" s="68" customFormat="1" ht="25.5" x14ac:dyDescent="0.25">
      <c r="A53" s="42">
        <f t="shared" si="4"/>
        <v>43</v>
      </c>
      <c r="B53" s="15"/>
      <c r="C53" s="314" t="s">
        <v>46</v>
      </c>
      <c r="D53" s="315" t="s">
        <v>25</v>
      </c>
      <c r="E53" s="316" t="s">
        <v>12</v>
      </c>
      <c r="F53" s="317">
        <v>1.1000000000000001</v>
      </c>
      <c r="G53" s="318">
        <f>15.1*F53</f>
        <v>16.61</v>
      </c>
      <c r="H53" s="3"/>
      <c r="I53" s="24"/>
      <c r="J53" s="25">
        <f>H53</f>
        <v>0</v>
      </c>
      <c r="K53" s="25">
        <f>G53*H53</f>
        <v>0</v>
      </c>
      <c r="L53" s="25"/>
      <c r="M53" s="26">
        <f>K53</f>
        <v>0</v>
      </c>
      <c r="O53" s="356"/>
    </row>
    <row r="54" spans="1:15" s="23" customFormat="1" ht="38.25" x14ac:dyDescent="0.25">
      <c r="A54" s="43">
        <f t="shared" si="4"/>
        <v>44</v>
      </c>
      <c r="B54" s="14" t="s">
        <v>110</v>
      </c>
      <c r="C54" s="8" t="s">
        <v>49</v>
      </c>
      <c r="D54" s="5" t="s">
        <v>22</v>
      </c>
      <c r="E54" s="6" t="s">
        <v>8</v>
      </c>
      <c r="F54" s="7">
        <v>1</v>
      </c>
      <c r="G54" s="313">
        <v>77.180000000000007</v>
      </c>
      <c r="H54" s="2"/>
      <c r="I54" s="4"/>
      <c r="J54" s="21">
        <f>I54</f>
        <v>0</v>
      </c>
      <c r="K54" s="21"/>
      <c r="L54" s="21">
        <f>G54*I54</f>
        <v>0</v>
      </c>
      <c r="M54" s="22">
        <f>L54</f>
        <v>0</v>
      </c>
      <c r="O54" s="354"/>
    </row>
    <row r="55" spans="1:15" s="68" customFormat="1" ht="25.5" x14ac:dyDescent="0.25">
      <c r="A55" s="42">
        <f t="shared" si="4"/>
        <v>45</v>
      </c>
      <c r="B55" s="15"/>
      <c r="C55" s="314" t="s">
        <v>131</v>
      </c>
      <c r="D55" s="315" t="s">
        <v>25</v>
      </c>
      <c r="E55" s="316" t="s">
        <v>10</v>
      </c>
      <c r="F55" s="317">
        <v>2.5</v>
      </c>
      <c r="G55" s="318">
        <f>16.8*F55</f>
        <v>42</v>
      </c>
      <c r="H55" s="3"/>
      <c r="I55" s="24"/>
      <c r="J55" s="25">
        <f>H55</f>
        <v>0</v>
      </c>
      <c r="K55" s="25">
        <f>G55*H55</f>
        <v>0</v>
      </c>
      <c r="L55" s="25"/>
      <c r="M55" s="26">
        <f>K55</f>
        <v>0</v>
      </c>
      <c r="O55" s="356"/>
    </row>
    <row r="56" spans="1:15" s="68" customFormat="1" ht="25.5" x14ac:dyDescent="0.25">
      <c r="A56" s="42">
        <f t="shared" si="4"/>
        <v>46</v>
      </c>
      <c r="B56" s="15"/>
      <c r="C56" s="314" t="s">
        <v>132</v>
      </c>
      <c r="D56" s="315" t="s">
        <v>25</v>
      </c>
      <c r="E56" s="316" t="s">
        <v>10</v>
      </c>
      <c r="F56" s="317">
        <v>2.5</v>
      </c>
      <c r="G56" s="318">
        <f>47.82*F56</f>
        <v>119.55</v>
      </c>
      <c r="H56" s="3"/>
      <c r="I56" s="24"/>
      <c r="J56" s="25">
        <f>H56</f>
        <v>0</v>
      </c>
      <c r="K56" s="25">
        <f>G56*H56</f>
        <v>0</v>
      </c>
      <c r="L56" s="25"/>
      <c r="M56" s="26">
        <f>K56</f>
        <v>0</v>
      </c>
      <c r="O56" s="356"/>
    </row>
    <row r="57" spans="1:15" s="68" customFormat="1" ht="25.5" x14ac:dyDescent="0.25">
      <c r="A57" s="42">
        <f t="shared" si="4"/>
        <v>47</v>
      </c>
      <c r="B57" s="15"/>
      <c r="C57" s="314" t="s">
        <v>133</v>
      </c>
      <c r="D57" s="315" t="s">
        <v>25</v>
      </c>
      <c r="E57" s="316" t="s">
        <v>10</v>
      </c>
      <c r="F57" s="317">
        <v>2.5</v>
      </c>
      <c r="G57" s="318">
        <f>12.55*F57</f>
        <v>31.38</v>
      </c>
      <c r="H57" s="3"/>
      <c r="I57" s="24"/>
      <c r="J57" s="25">
        <f>H57</f>
        <v>0</v>
      </c>
      <c r="K57" s="25">
        <f>G57*H57</f>
        <v>0</v>
      </c>
      <c r="L57" s="25"/>
      <c r="M57" s="26">
        <f>K57</f>
        <v>0</v>
      </c>
      <c r="O57" s="356"/>
    </row>
    <row r="58" spans="1:15" s="23" customFormat="1" ht="12.75" x14ac:dyDescent="0.25">
      <c r="A58" s="43">
        <f t="shared" si="4"/>
        <v>48</v>
      </c>
      <c r="B58" s="14" t="s">
        <v>110</v>
      </c>
      <c r="C58" s="8" t="s">
        <v>50</v>
      </c>
      <c r="D58" s="5" t="s">
        <v>22</v>
      </c>
      <c r="E58" s="6" t="s">
        <v>12</v>
      </c>
      <c r="F58" s="7">
        <v>1</v>
      </c>
      <c r="G58" s="313">
        <v>10.8</v>
      </c>
      <c r="H58" s="2"/>
      <c r="I58" s="4"/>
      <c r="J58" s="21">
        <f>I58</f>
        <v>0</v>
      </c>
      <c r="K58" s="21"/>
      <c r="L58" s="21">
        <f>G58*I58</f>
        <v>0</v>
      </c>
      <c r="M58" s="22">
        <f>L58</f>
        <v>0</v>
      </c>
      <c r="O58" s="354"/>
    </row>
    <row r="59" spans="1:15" s="68" customFormat="1" ht="25.5" x14ac:dyDescent="0.25">
      <c r="A59" s="42">
        <f t="shared" si="4"/>
        <v>49</v>
      </c>
      <c r="B59" s="15"/>
      <c r="C59" s="314" t="s">
        <v>51</v>
      </c>
      <c r="D59" s="315" t="s">
        <v>25</v>
      </c>
      <c r="E59" s="316" t="s">
        <v>12</v>
      </c>
      <c r="F59" s="317">
        <v>1.1000000000000001</v>
      </c>
      <c r="G59" s="318">
        <f>G58*F59</f>
        <v>11.88</v>
      </c>
      <c r="H59" s="3"/>
      <c r="I59" s="24"/>
      <c r="J59" s="25">
        <f>H59</f>
        <v>0</v>
      </c>
      <c r="K59" s="25">
        <f>G59*H59</f>
        <v>0</v>
      </c>
      <c r="L59" s="25"/>
      <c r="M59" s="26">
        <f>K59</f>
        <v>0</v>
      </c>
      <c r="O59" s="356"/>
    </row>
    <row r="60" spans="1:15" s="23" customFormat="1" ht="12.75" x14ac:dyDescent="0.25">
      <c r="A60" s="43">
        <f t="shared" si="4"/>
        <v>50</v>
      </c>
      <c r="B60" s="14" t="s">
        <v>110</v>
      </c>
      <c r="C60" s="8" t="s">
        <v>20</v>
      </c>
      <c r="D60" s="5" t="s">
        <v>22</v>
      </c>
      <c r="E60" s="6" t="s">
        <v>24</v>
      </c>
      <c r="F60" s="7">
        <v>1</v>
      </c>
      <c r="G60" s="313">
        <v>10.51</v>
      </c>
      <c r="H60" s="2"/>
      <c r="I60" s="4"/>
      <c r="J60" s="21">
        <f>I60</f>
        <v>0</v>
      </c>
      <c r="K60" s="21"/>
      <c r="L60" s="21">
        <f>G60*I60</f>
        <v>0</v>
      </c>
      <c r="M60" s="22">
        <f>L60</f>
        <v>0</v>
      </c>
      <c r="O60" s="354"/>
    </row>
    <row r="61" spans="1:15" s="68" customFormat="1" ht="25.5" x14ac:dyDescent="0.25">
      <c r="A61" s="42">
        <f t="shared" si="4"/>
        <v>51</v>
      </c>
      <c r="B61" s="327"/>
      <c r="C61" s="314" t="s">
        <v>32</v>
      </c>
      <c r="D61" s="315" t="s">
        <v>25</v>
      </c>
      <c r="E61" s="328" t="s">
        <v>10</v>
      </c>
      <c r="F61" s="329">
        <v>0.05</v>
      </c>
      <c r="G61" s="318">
        <f>G60*0.2*F61</f>
        <v>0.11</v>
      </c>
      <c r="H61" s="3"/>
      <c r="I61" s="69"/>
      <c r="J61" s="25">
        <f t="shared" ref="J61:J66" si="5">H61</f>
        <v>0</v>
      </c>
      <c r="K61" s="25">
        <f t="shared" ref="K61:K66" si="6">G61*H61</f>
        <v>0</v>
      </c>
      <c r="L61" s="25"/>
      <c r="M61" s="26">
        <f t="shared" ref="M61:M66" si="7">K61</f>
        <v>0</v>
      </c>
      <c r="O61" s="356"/>
    </row>
    <row r="62" spans="1:15" s="68" customFormat="1" ht="25.5" x14ac:dyDescent="0.25">
      <c r="A62" s="42">
        <f t="shared" si="4"/>
        <v>52</v>
      </c>
      <c r="B62" s="327"/>
      <c r="C62" s="314" t="s">
        <v>33</v>
      </c>
      <c r="D62" s="315" t="s">
        <v>25</v>
      </c>
      <c r="E62" s="328" t="s">
        <v>10</v>
      </c>
      <c r="F62" s="329">
        <v>10</v>
      </c>
      <c r="G62" s="318">
        <f>G60*0.2*F62</f>
        <v>21.02</v>
      </c>
      <c r="H62" s="3"/>
      <c r="I62" s="69"/>
      <c r="J62" s="25">
        <f t="shared" si="5"/>
        <v>0</v>
      </c>
      <c r="K62" s="25">
        <f t="shared" si="6"/>
        <v>0</v>
      </c>
      <c r="L62" s="25"/>
      <c r="M62" s="26">
        <f t="shared" si="7"/>
        <v>0</v>
      </c>
      <c r="O62" s="356"/>
    </row>
    <row r="63" spans="1:15" s="68" customFormat="1" ht="25.5" x14ac:dyDescent="0.25">
      <c r="A63" s="42">
        <f t="shared" si="4"/>
        <v>53</v>
      </c>
      <c r="B63" s="15"/>
      <c r="C63" s="314" t="s">
        <v>13</v>
      </c>
      <c r="D63" s="315" t="s">
        <v>25</v>
      </c>
      <c r="E63" s="316" t="s">
        <v>14</v>
      </c>
      <c r="F63" s="317">
        <v>0.1</v>
      </c>
      <c r="G63" s="318">
        <f>G60*0.2*F63</f>
        <v>0.21</v>
      </c>
      <c r="H63" s="3"/>
      <c r="I63" s="24"/>
      <c r="J63" s="25">
        <f t="shared" si="5"/>
        <v>0</v>
      </c>
      <c r="K63" s="25">
        <f t="shared" si="6"/>
        <v>0</v>
      </c>
      <c r="L63" s="25"/>
      <c r="M63" s="26">
        <f t="shared" si="7"/>
        <v>0</v>
      </c>
      <c r="O63" s="356"/>
    </row>
    <row r="64" spans="1:15" s="68" customFormat="1" ht="25.5" x14ac:dyDescent="0.25">
      <c r="A64" s="42">
        <f t="shared" si="4"/>
        <v>54</v>
      </c>
      <c r="B64" s="327"/>
      <c r="C64" s="314" t="s">
        <v>23</v>
      </c>
      <c r="D64" s="330" t="s">
        <v>25</v>
      </c>
      <c r="E64" s="328" t="s">
        <v>10</v>
      </c>
      <c r="F64" s="329">
        <v>1.7</v>
      </c>
      <c r="G64" s="318">
        <f>G60*0.2*F64</f>
        <v>3.57</v>
      </c>
      <c r="H64" s="3"/>
      <c r="I64" s="69"/>
      <c r="J64" s="25">
        <f t="shared" si="5"/>
        <v>0</v>
      </c>
      <c r="K64" s="25">
        <f t="shared" si="6"/>
        <v>0</v>
      </c>
      <c r="L64" s="25"/>
      <c r="M64" s="26">
        <f t="shared" si="7"/>
        <v>0</v>
      </c>
      <c r="O64" s="356"/>
    </row>
    <row r="65" spans="1:15" s="68" customFormat="1" ht="25.5" x14ac:dyDescent="0.25">
      <c r="A65" s="42">
        <f t="shared" si="4"/>
        <v>55</v>
      </c>
      <c r="B65" s="15"/>
      <c r="C65" s="314" t="s">
        <v>104</v>
      </c>
      <c r="D65" s="315" t="s">
        <v>25</v>
      </c>
      <c r="E65" s="316" t="s">
        <v>14</v>
      </c>
      <c r="F65" s="317">
        <v>0.3</v>
      </c>
      <c r="G65" s="318">
        <f>5.4*0.2*F65</f>
        <v>0.32</v>
      </c>
      <c r="H65" s="3"/>
      <c r="I65" s="69"/>
      <c r="J65" s="25">
        <f t="shared" si="5"/>
        <v>0</v>
      </c>
      <c r="K65" s="25">
        <f t="shared" si="6"/>
        <v>0</v>
      </c>
      <c r="L65" s="25"/>
      <c r="M65" s="26">
        <f t="shared" si="7"/>
        <v>0</v>
      </c>
      <c r="O65" s="356"/>
    </row>
    <row r="66" spans="1:15" s="68" customFormat="1" ht="25.5" x14ac:dyDescent="0.25">
      <c r="A66" s="42">
        <f t="shared" si="4"/>
        <v>56</v>
      </c>
      <c r="B66" s="15"/>
      <c r="C66" s="314" t="s">
        <v>133</v>
      </c>
      <c r="D66" s="315" t="s">
        <v>25</v>
      </c>
      <c r="E66" s="316" t="s">
        <v>10</v>
      </c>
      <c r="F66" s="317">
        <v>2.5</v>
      </c>
      <c r="G66" s="318">
        <f>5.11*0.2*F66</f>
        <v>2.56</v>
      </c>
      <c r="H66" s="3"/>
      <c r="I66" s="69"/>
      <c r="J66" s="25">
        <f t="shared" si="5"/>
        <v>0</v>
      </c>
      <c r="K66" s="25">
        <f t="shared" si="6"/>
        <v>0</v>
      </c>
      <c r="L66" s="25"/>
      <c r="M66" s="26">
        <f t="shared" si="7"/>
        <v>0</v>
      </c>
      <c r="O66" s="356"/>
    </row>
    <row r="67" spans="1:15" s="44" customFormat="1" ht="25.5" customHeight="1" x14ac:dyDescent="0.25">
      <c r="A67" s="305">
        <f>ROW()-10</f>
        <v>57</v>
      </c>
      <c r="B67" s="306" t="s">
        <v>113</v>
      </c>
      <c r="C67" s="307" t="s">
        <v>112</v>
      </c>
      <c r="D67" s="36"/>
      <c r="E67" s="308"/>
      <c r="F67" s="309"/>
      <c r="G67" s="310"/>
      <c r="H67" s="39"/>
      <c r="I67" s="37"/>
      <c r="J67" s="28"/>
      <c r="K67" s="28"/>
      <c r="L67" s="28"/>
      <c r="M67" s="40"/>
      <c r="O67" s="355"/>
    </row>
    <row r="68" spans="1:15" s="23" customFormat="1" ht="12.75" x14ac:dyDescent="0.25">
      <c r="A68" s="43">
        <f t="shared" ref="A68:A98" si="8">ROW()-10</f>
        <v>58</v>
      </c>
      <c r="B68" s="14" t="s">
        <v>113</v>
      </c>
      <c r="C68" s="8" t="s">
        <v>16</v>
      </c>
      <c r="D68" s="5" t="s">
        <v>22</v>
      </c>
      <c r="E68" s="6" t="s">
        <v>8</v>
      </c>
      <c r="F68" s="7">
        <v>1</v>
      </c>
      <c r="G68" s="313">
        <v>55.5</v>
      </c>
      <c r="H68" s="2"/>
      <c r="I68" s="4"/>
      <c r="J68" s="21">
        <f>I68</f>
        <v>0</v>
      </c>
      <c r="K68" s="21"/>
      <c r="L68" s="21">
        <f>G68*I68</f>
        <v>0</v>
      </c>
      <c r="M68" s="22">
        <f>L68</f>
        <v>0</v>
      </c>
      <c r="O68" s="354"/>
    </row>
    <row r="69" spans="1:15" s="68" customFormat="1" ht="25.5" x14ac:dyDescent="0.25">
      <c r="A69" s="41">
        <f t="shared" si="8"/>
        <v>59</v>
      </c>
      <c r="B69" s="38" t="s">
        <v>59</v>
      </c>
      <c r="C69" s="314" t="s">
        <v>58</v>
      </c>
      <c r="D69" s="315" t="s">
        <v>25</v>
      </c>
      <c r="E69" s="316" t="s">
        <v>8</v>
      </c>
      <c r="F69" s="317">
        <v>1.07</v>
      </c>
      <c r="G69" s="318">
        <f>G68*F69</f>
        <v>59.39</v>
      </c>
      <c r="H69" s="3"/>
      <c r="I69" s="24"/>
      <c r="J69" s="25">
        <f>H69</f>
        <v>0</v>
      </c>
      <c r="K69" s="25">
        <f>G69*H69</f>
        <v>0</v>
      </c>
      <c r="L69" s="25"/>
      <c r="M69" s="26">
        <f>K69</f>
        <v>0</v>
      </c>
      <c r="O69" s="356"/>
    </row>
    <row r="70" spans="1:15" s="68" customFormat="1" ht="25.5" x14ac:dyDescent="0.25">
      <c r="A70" s="42">
        <f t="shared" si="8"/>
        <v>60</v>
      </c>
      <c r="B70" s="15"/>
      <c r="C70" s="314" t="s">
        <v>9</v>
      </c>
      <c r="D70" s="315" t="s">
        <v>25</v>
      </c>
      <c r="E70" s="316" t="s">
        <v>10</v>
      </c>
      <c r="F70" s="317">
        <v>12</v>
      </c>
      <c r="G70" s="318">
        <f>G68*F70</f>
        <v>666</v>
      </c>
      <c r="H70" s="3"/>
      <c r="I70" s="24"/>
      <c r="J70" s="25">
        <f>H70</f>
        <v>0</v>
      </c>
      <c r="K70" s="25">
        <f>G70*H70</f>
        <v>0</v>
      </c>
      <c r="L70" s="25"/>
      <c r="M70" s="26">
        <f>K70</f>
        <v>0</v>
      </c>
      <c r="O70" s="356"/>
    </row>
    <row r="71" spans="1:15" s="68" customFormat="1" ht="25.5" x14ac:dyDescent="0.25">
      <c r="A71" s="42">
        <f t="shared" si="8"/>
        <v>61</v>
      </c>
      <c r="B71" s="15"/>
      <c r="C71" s="314" t="s">
        <v>11</v>
      </c>
      <c r="D71" s="315" t="s">
        <v>25</v>
      </c>
      <c r="E71" s="316" t="s">
        <v>10</v>
      </c>
      <c r="F71" s="317">
        <v>0.25</v>
      </c>
      <c r="G71" s="318">
        <f>G68*F71</f>
        <v>13.88</v>
      </c>
      <c r="H71" s="3"/>
      <c r="I71" s="24"/>
      <c r="J71" s="25">
        <f>H71</f>
        <v>0</v>
      </c>
      <c r="K71" s="25">
        <f>G71*H71</f>
        <v>0</v>
      </c>
      <c r="L71" s="25"/>
      <c r="M71" s="26">
        <f>K71</f>
        <v>0</v>
      </c>
      <c r="O71" s="356"/>
    </row>
    <row r="72" spans="1:15" s="23" customFormat="1" ht="25.5" x14ac:dyDescent="0.25">
      <c r="A72" s="43">
        <f t="shared" si="8"/>
        <v>62</v>
      </c>
      <c r="B72" s="14" t="s">
        <v>113</v>
      </c>
      <c r="C72" s="8" t="s">
        <v>45</v>
      </c>
      <c r="D72" s="5" t="s">
        <v>22</v>
      </c>
      <c r="E72" s="6" t="s">
        <v>12</v>
      </c>
      <c r="F72" s="7">
        <v>1</v>
      </c>
      <c r="G72" s="313">
        <v>27.7</v>
      </c>
      <c r="H72" s="2"/>
      <c r="I72" s="4"/>
      <c r="J72" s="21">
        <f>I72</f>
        <v>0</v>
      </c>
      <c r="K72" s="21"/>
      <c r="L72" s="21">
        <f>G72*I72</f>
        <v>0</v>
      </c>
      <c r="M72" s="22">
        <f>L72</f>
        <v>0</v>
      </c>
      <c r="O72" s="354"/>
    </row>
    <row r="73" spans="1:15" s="68" customFormat="1" ht="25.5" x14ac:dyDescent="0.25">
      <c r="A73" s="42">
        <f t="shared" si="8"/>
        <v>63</v>
      </c>
      <c r="B73" s="15" t="s">
        <v>61</v>
      </c>
      <c r="C73" s="314" t="s">
        <v>60</v>
      </c>
      <c r="D73" s="315" t="s">
        <v>25</v>
      </c>
      <c r="E73" s="316" t="s">
        <v>8</v>
      </c>
      <c r="F73" s="317">
        <v>1.07</v>
      </c>
      <c r="G73" s="318">
        <f>G72*0.3*F73</f>
        <v>8.89</v>
      </c>
      <c r="H73" s="3"/>
      <c r="I73" s="24"/>
      <c r="J73" s="25">
        <f>H73</f>
        <v>0</v>
      </c>
      <c r="K73" s="25">
        <f>G73*H73</f>
        <v>0</v>
      </c>
      <c r="L73" s="25"/>
      <c r="M73" s="26">
        <f>K73</f>
        <v>0</v>
      </c>
      <c r="O73" s="356"/>
    </row>
    <row r="74" spans="1:15" s="68" customFormat="1" ht="25.5" x14ac:dyDescent="0.25">
      <c r="A74" s="42">
        <f t="shared" si="8"/>
        <v>64</v>
      </c>
      <c r="B74" s="15"/>
      <c r="C74" s="314" t="s">
        <v>9</v>
      </c>
      <c r="D74" s="315" t="s">
        <v>25</v>
      </c>
      <c r="E74" s="316" t="s">
        <v>10</v>
      </c>
      <c r="F74" s="317">
        <v>12</v>
      </c>
      <c r="G74" s="318">
        <f>G72*0.3*F74</f>
        <v>99.72</v>
      </c>
      <c r="H74" s="3"/>
      <c r="I74" s="24"/>
      <c r="J74" s="25">
        <f>H74</f>
        <v>0</v>
      </c>
      <c r="K74" s="25">
        <f>G74*H74</f>
        <v>0</v>
      </c>
      <c r="L74" s="25"/>
      <c r="M74" s="26">
        <f>K74</f>
        <v>0</v>
      </c>
      <c r="O74" s="356"/>
    </row>
    <row r="75" spans="1:15" s="68" customFormat="1" ht="25.5" x14ac:dyDescent="0.25">
      <c r="A75" s="42">
        <f t="shared" si="8"/>
        <v>65</v>
      </c>
      <c r="B75" s="15"/>
      <c r="C75" s="314" t="s">
        <v>11</v>
      </c>
      <c r="D75" s="315" t="s">
        <v>25</v>
      </c>
      <c r="E75" s="316" t="s">
        <v>10</v>
      </c>
      <c r="F75" s="317">
        <v>0.25</v>
      </c>
      <c r="G75" s="318">
        <f>G72*0.3*F75</f>
        <v>2.08</v>
      </c>
      <c r="H75" s="3"/>
      <c r="I75" s="24"/>
      <c r="J75" s="25">
        <f>H75</f>
        <v>0</v>
      </c>
      <c r="K75" s="25">
        <f>G75*H75</f>
        <v>0</v>
      </c>
      <c r="L75" s="25"/>
      <c r="M75" s="26">
        <f>K75</f>
        <v>0</v>
      </c>
      <c r="O75" s="356"/>
    </row>
    <row r="76" spans="1:15" s="68" customFormat="1" ht="25.5" x14ac:dyDescent="0.25">
      <c r="A76" s="42">
        <f t="shared" si="8"/>
        <v>66</v>
      </c>
      <c r="B76" s="15"/>
      <c r="C76" s="314" t="s">
        <v>46</v>
      </c>
      <c r="D76" s="315" t="s">
        <v>25</v>
      </c>
      <c r="E76" s="316" t="s">
        <v>12</v>
      </c>
      <c r="F76" s="317">
        <v>1.1000000000000001</v>
      </c>
      <c r="G76" s="318">
        <f>G72*F76</f>
        <v>30.47</v>
      </c>
      <c r="H76" s="3"/>
      <c r="I76" s="24"/>
      <c r="J76" s="25">
        <f>H76</f>
        <v>0</v>
      </c>
      <c r="K76" s="25">
        <f>G76*H76</f>
        <v>0</v>
      </c>
      <c r="L76" s="25"/>
      <c r="M76" s="26">
        <f>K76</f>
        <v>0</v>
      </c>
      <c r="O76" s="356"/>
    </row>
    <row r="77" spans="1:15" s="23" customFormat="1" ht="25.5" x14ac:dyDescent="0.25">
      <c r="A77" s="43">
        <f t="shared" si="8"/>
        <v>67</v>
      </c>
      <c r="B77" s="14" t="s">
        <v>113</v>
      </c>
      <c r="C77" s="8" t="s">
        <v>114</v>
      </c>
      <c r="D77" s="5" t="s">
        <v>22</v>
      </c>
      <c r="E77" s="6" t="s">
        <v>8</v>
      </c>
      <c r="F77" s="7">
        <v>1</v>
      </c>
      <c r="G77" s="313">
        <f>11.7+2.9</f>
        <v>14.6</v>
      </c>
      <c r="H77" s="2"/>
      <c r="I77" s="4"/>
      <c r="J77" s="21">
        <f>I77</f>
        <v>0</v>
      </c>
      <c r="K77" s="21"/>
      <c r="L77" s="21">
        <f>G77*I77</f>
        <v>0</v>
      </c>
      <c r="M77" s="22">
        <f>L77</f>
        <v>0</v>
      </c>
      <c r="O77" s="354"/>
    </row>
    <row r="78" spans="1:15" s="68" customFormat="1" ht="25.5" x14ac:dyDescent="0.25">
      <c r="A78" s="41">
        <f t="shared" si="8"/>
        <v>68</v>
      </c>
      <c r="B78" s="38" t="s">
        <v>64</v>
      </c>
      <c r="C78" s="314" t="s">
        <v>63</v>
      </c>
      <c r="D78" s="315" t="s">
        <v>25</v>
      </c>
      <c r="E78" s="316" t="s">
        <v>8</v>
      </c>
      <c r="F78" s="317">
        <v>1.07</v>
      </c>
      <c r="G78" s="318">
        <f>G77*F78</f>
        <v>15.62</v>
      </c>
      <c r="H78" s="3"/>
      <c r="I78" s="24"/>
      <c r="J78" s="25">
        <f>H78</f>
        <v>0</v>
      </c>
      <c r="K78" s="25">
        <f>G78*H78</f>
        <v>0</v>
      </c>
      <c r="L78" s="25"/>
      <c r="M78" s="26">
        <f>K78</f>
        <v>0</v>
      </c>
      <c r="O78" s="356"/>
    </row>
    <row r="79" spans="1:15" s="68" customFormat="1" ht="25.5" x14ac:dyDescent="0.25">
      <c r="A79" s="42">
        <f t="shared" si="8"/>
        <v>69</v>
      </c>
      <c r="B79" s="15"/>
      <c r="C79" s="314" t="s">
        <v>9</v>
      </c>
      <c r="D79" s="315" t="s">
        <v>25</v>
      </c>
      <c r="E79" s="316" t="s">
        <v>10</v>
      </c>
      <c r="F79" s="317">
        <v>12</v>
      </c>
      <c r="G79" s="318">
        <f>G77*F79</f>
        <v>175.2</v>
      </c>
      <c r="H79" s="3"/>
      <c r="I79" s="24"/>
      <c r="J79" s="25">
        <f>H79</f>
        <v>0</v>
      </c>
      <c r="K79" s="25">
        <f>G79*H79</f>
        <v>0</v>
      </c>
      <c r="L79" s="25"/>
      <c r="M79" s="26">
        <f>K79</f>
        <v>0</v>
      </c>
      <c r="O79" s="356"/>
    </row>
    <row r="80" spans="1:15" s="68" customFormat="1" ht="25.5" x14ac:dyDescent="0.25">
      <c r="A80" s="42">
        <f t="shared" si="8"/>
        <v>70</v>
      </c>
      <c r="B80" s="15"/>
      <c r="C80" s="314" t="s">
        <v>11</v>
      </c>
      <c r="D80" s="315" t="s">
        <v>25</v>
      </c>
      <c r="E80" s="316" t="s">
        <v>10</v>
      </c>
      <c r="F80" s="317">
        <v>0.25</v>
      </c>
      <c r="G80" s="318">
        <f>G77*F80</f>
        <v>3.65</v>
      </c>
      <c r="H80" s="3"/>
      <c r="I80" s="24"/>
      <c r="J80" s="25">
        <f>H80</f>
        <v>0</v>
      </c>
      <c r="K80" s="25">
        <f>G80*H80</f>
        <v>0</v>
      </c>
      <c r="L80" s="25"/>
      <c r="M80" s="26">
        <f>K80</f>
        <v>0</v>
      </c>
      <c r="O80" s="356"/>
    </row>
    <row r="81" spans="1:15" s="23" customFormat="1" ht="25.5" x14ac:dyDescent="0.25">
      <c r="A81" s="43">
        <f t="shared" si="8"/>
        <v>71</v>
      </c>
      <c r="B81" s="14" t="s">
        <v>113</v>
      </c>
      <c r="C81" s="8" t="s">
        <v>116</v>
      </c>
      <c r="D81" s="5" t="s">
        <v>22</v>
      </c>
      <c r="E81" s="6" t="s">
        <v>8</v>
      </c>
      <c r="F81" s="7">
        <v>1</v>
      </c>
      <c r="G81" s="313">
        <f>7.2+7.16</f>
        <v>14.36</v>
      </c>
      <c r="H81" s="2"/>
      <c r="I81" s="4"/>
      <c r="J81" s="21">
        <f>I81</f>
        <v>0</v>
      </c>
      <c r="K81" s="21"/>
      <c r="L81" s="21">
        <f>G81*I81</f>
        <v>0</v>
      </c>
      <c r="M81" s="22">
        <f>L81</f>
        <v>0</v>
      </c>
      <c r="O81" s="354"/>
    </row>
    <row r="82" spans="1:15" s="68" customFormat="1" ht="25.5" x14ac:dyDescent="0.25">
      <c r="A82" s="42">
        <f t="shared" si="8"/>
        <v>72</v>
      </c>
      <c r="B82" s="38" t="s">
        <v>68</v>
      </c>
      <c r="C82" s="314" t="s">
        <v>67</v>
      </c>
      <c r="D82" s="315" t="s">
        <v>25</v>
      </c>
      <c r="E82" s="316" t="s">
        <v>8</v>
      </c>
      <c r="F82" s="317">
        <v>1.07</v>
      </c>
      <c r="G82" s="318">
        <f>G81*F82</f>
        <v>15.37</v>
      </c>
      <c r="H82" s="3"/>
      <c r="I82" s="24"/>
      <c r="J82" s="25">
        <f>H82</f>
        <v>0</v>
      </c>
      <c r="K82" s="25">
        <f>G82*H82</f>
        <v>0</v>
      </c>
      <c r="L82" s="25"/>
      <c r="M82" s="26">
        <f>K82</f>
        <v>0</v>
      </c>
      <c r="O82" s="356"/>
    </row>
    <row r="83" spans="1:15" s="68" customFormat="1" ht="25.5" x14ac:dyDescent="0.25">
      <c r="A83" s="42">
        <f t="shared" si="8"/>
        <v>73</v>
      </c>
      <c r="B83" s="15"/>
      <c r="C83" s="314" t="s">
        <v>9</v>
      </c>
      <c r="D83" s="315" t="s">
        <v>25</v>
      </c>
      <c r="E83" s="316" t="s">
        <v>10</v>
      </c>
      <c r="F83" s="317">
        <v>12</v>
      </c>
      <c r="G83" s="318">
        <f>G81*F83</f>
        <v>172.32</v>
      </c>
      <c r="H83" s="3"/>
      <c r="I83" s="24"/>
      <c r="J83" s="25">
        <f>H83</f>
        <v>0</v>
      </c>
      <c r="K83" s="25">
        <f>G83*H83</f>
        <v>0</v>
      </c>
      <c r="L83" s="25"/>
      <c r="M83" s="26">
        <f>K83</f>
        <v>0</v>
      </c>
      <c r="O83" s="356"/>
    </row>
    <row r="84" spans="1:15" s="68" customFormat="1" ht="25.5" x14ac:dyDescent="0.25">
      <c r="A84" s="42">
        <f t="shared" si="8"/>
        <v>74</v>
      </c>
      <c r="B84" s="15"/>
      <c r="C84" s="314" t="s">
        <v>11</v>
      </c>
      <c r="D84" s="315" t="s">
        <v>25</v>
      </c>
      <c r="E84" s="316" t="s">
        <v>10</v>
      </c>
      <c r="F84" s="317">
        <v>0.25</v>
      </c>
      <c r="G84" s="318">
        <f>G81*F84</f>
        <v>3.59</v>
      </c>
      <c r="H84" s="3"/>
      <c r="I84" s="24"/>
      <c r="J84" s="25">
        <f>H84</f>
        <v>0</v>
      </c>
      <c r="K84" s="25">
        <f>G84*H84</f>
        <v>0</v>
      </c>
      <c r="L84" s="25"/>
      <c r="M84" s="26">
        <f>K84</f>
        <v>0</v>
      </c>
      <c r="O84" s="356"/>
    </row>
    <row r="85" spans="1:15" s="23" customFormat="1" ht="25.5" x14ac:dyDescent="0.25">
      <c r="A85" s="43">
        <f t="shared" si="8"/>
        <v>75</v>
      </c>
      <c r="B85" s="14" t="s">
        <v>113</v>
      </c>
      <c r="C85" s="8" t="s">
        <v>115</v>
      </c>
      <c r="D85" s="5" t="s">
        <v>22</v>
      </c>
      <c r="E85" s="6" t="s">
        <v>8</v>
      </c>
      <c r="F85" s="7">
        <v>1</v>
      </c>
      <c r="G85" s="313">
        <f>3.9+3.91</f>
        <v>7.81</v>
      </c>
      <c r="H85" s="2"/>
      <c r="I85" s="4"/>
      <c r="J85" s="21">
        <f>I85</f>
        <v>0</v>
      </c>
      <c r="K85" s="21"/>
      <c r="L85" s="21">
        <f>G85*I85</f>
        <v>0</v>
      </c>
      <c r="M85" s="22">
        <f>L85</f>
        <v>0</v>
      </c>
      <c r="O85" s="354"/>
    </row>
    <row r="86" spans="1:15" s="68" customFormat="1" ht="25.5" x14ac:dyDescent="0.25">
      <c r="A86" s="42">
        <f t="shared" si="8"/>
        <v>76</v>
      </c>
      <c r="B86" s="38" t="s">
        <v>69</v>
      </c>
      <c r="C86" s="314" t="s">
        <v>67</v>
      </c>
      <c r="D86" s="315" t="s">
        <v>25</v>
      </c>
      <c r="E86" s="316" t="s">
        <v>8</v>
      </c>
      <c r="F86" s="317">
        <v>1.07</v>
      </c>
      <c r="G86" s="318">
        <f>G85*F86</f>
        <v>8.36</v>
      </c>
      <c r="H86" s="3"/>
      <c r="I86" s="24"/>
      <c r="J86" s="25">
        <f>H86</f>
        <v>0</v>
      </c>
      <c r="K86" s="25">
        <f>G86*H86</f>
        <v>0</v>
      </c>
      <c r="L86" s="25"/>
      <c r="M86" s="26">
        <f>K86</f>
        <v>0</v>
      </c>
      <c r="O86" s="356"/>
    </row>
    <row r="87" spans="1:15" s="68" customFormat="1" ht="25.5" x14ac:dyDescent="0.25">
      <c r="A87" s="42">
        <f t="shared" si="8"/>
        <v>77</v>
      </c>
      <c r="B87" s="15"/>
      <c r="C87" s="314" t="s">
        <v>9</v>
      </c>
      <c r="D87" s="315" t="s">
        <v>25</v>
      </c>
      <c r="E87" s="316" t="s">
        <v>10</v>
      </c>
      <c r="F87" s="317">
        <v>12</v>
      </c>
      <c r="G87" s="318">
        <f>G85*F87</f>
        <v>93.72</v>
      </c>
      <c r="H87" s="3"/>
      <c r="I87" s="24"/>
      <c r="J87" s="25">
        <f>H87</f>
        <v>0</v>
      </c>
      <c r="K87" s="25">
        <f>G87*H87</f>
        <v>0</v>
      </c>
      <c r="L87" s="25"/>
      <c r="M87" s="26">
        <f>K87</f>
        <v>0</v>
      </c>
      <c r="O87" s="356"/>
    </row>
    <row r="88" spans="1:15" s="68" customFormat="1" ht="25.5" x14ac:dyDescent="0.25">
      <c r="A88" s="42">
        <f t="shared" si="8"/>
        <v>78</v>
      </c>
      <c r="B88" s="15"/>
      <c r="C88" s="314" t="s">
        <v>11</v>
      </c>
      <c r="D88" s="315" t="s">
        <v>25</v>
      </c>
      <c r="E88" s="316" t="s">
        <v>10</v>
      </c>
      <c r="F88" s="317">
        <v>0.25</v>
      </c>
      <c r="G88" s="318">
        <f>G85*F88</f>
        <v>1.95</v>
      </c>
      <c r="H88" s="3"/>
      <c r="I88" s="24"/>
      <c r="J88" s="25">
        <f>H88</f>
        <v>0</v>
      </c>
      <c r="K88" s="25">
        <f>G88*H88</f>
        <v>0</v>
      </c>
      <c r="L88" s="25"/>
      <c r="M88" s="26">
        <f>K88</f>
        <v>0</v>
      </c>
      <c r="O88" s="356"/>
    </row>
    <row r="89" spans="1:15" s="23" customFormat="1" ht="25.5" x14ac:dyDescent="0.25">
      <c r="A89" s="43">
        <f t="shared" si="8"/>
        <v>79</v>
      </c>
      <c r="B89" s="14" t="s">
        <v>113</v>
      </c>
      <c r="C89" s="8" t="s">
        <v>17</v>
      </c>
      <c r="D89" s="5" t="s">
        <v>22</v>
      </c>
      <c r="E89" s="6" t="s">
        <v>12</v>
      </c>
      <c r="F89" s="7">
        <v>1</v>
      </c>
      <c r="G89" s="313">
        <v>26.9</v>
      </c>
      <c r="H89" s="2"/>
      <c r="I89" s="4"/>
      <c r="J89" s="21">
        <f>I89</f>
        <v>0</v>
      </c>
      <c r="K89" s="21"/>
      <c r="L89" s="21">
        <f>G89*I89</f>
        <v>0</v>
      </c>
      <c r="M89" s="22">
        <f>L89</f>
        <v>0</v>
      </c>
      <c r="O89" s="354"/>
    </row>
    <row r="90" spans="1:15" s="68" customFormat="1" ht="25.5" x14ac:dyDescent="0.25">
      <c r="A90" s="42">
        <f t="shared" si="8"/>
        <v>80</v>
      </c>
      <c r="B90" s="15" t="s">
        <v>65</v>
      </c>
      <c r="C90" s="314" t="s">
        <v>66</v>
      </c>
      <c r="D90" s="315" t="s">
        <v>25</v>
      </c>
      <c r="E90" s="316" t="s">
        <v>8</v>
      </c>
      <c r="F90" s="317">
        <v>1.07</v>
      </c>
      <c r="G90" s="318">
        <f>G89*0.1*F90</f>
        <v>2.88</v>
      </c>
      <c r="H90" s="3"/>
      <c r="I90" s="24"/>
      <c r="J90" s="25">
        <f>H90</f>
        <v>0</v>
      </c>
      <c r="K90" s="25">
        <f>G90*H90</f>
        <v>0</v>
      </c>
      <c r="L90" s="25"/>
      <c r="M90" s="26">
        <f>K90</f>
        <v>0</v>
      </c>
      <c r="O90" s="356"/>
    </row>
    <row r="91" spans="1:15" s="68" customFormat="1" ht="25.5" x14ac:dyDescent="0.25">
      <c r="A91" s="42">
        <f t="shared" si="8"/>
        <v>81</v>
      </c>
      <c r="B91" s="15"/>
      <c r="C91" s="314" t="s">
        <v>9</v>
      </c>
      <c r="D91" s="315" t="s">
        <v>25</v>
      </c>
      <c r="E91" s="316" t="s">
        <v>10</v>
      </c>
      <c r="F91" s="317">
        <v>12</v>
      </c>
      <c r="G91" s="318">
        <f>G89*0.1*F91</f>
        <v>32.28</v>
      </c>
      <c r="H91" s="3"/>
      <c r="I91" s="24"/>
      <c r="J91" s="25">
        <f>H91</f>
        <v>0</v>
      </c>
      <c r="K91" s="25">
        <f>G91*H91</f>
        <v>0</v>
      </c>
      <c r="L91" s="25"/>
      <c r="M91" s="26">
        <f>K91</f>
        <v>0</v>
      </c>
      <c r="O91" s="356"/>
    </row>
    <row r="92" spans="1:15" s="68" customFormat="1" ht="25.5" x14ac:dyDescent="0.25">
      <c r="A92" s="42">
        <f t="shared" si="8"/>
        <v>82</v>
      </c>
      <c r="B92" s="15"/>
      <c r="C92" s="314" t="s">
        <v>11</v>
      </c>
      <c r="D92" s="315" t="s">
        <v>25</v>
      </c>
      <c r="E92" s="316" t="s">
        <v>10</v>
      </c>
      <c r="F92" s="317">
        <v>0.25</v>
      </c>
      <c r="G92" s="318">
        <f>G89*0.1*F92</f>
        <v>0.67</v>
      </c>
      <c r="H92" s="3"/>
      <c r="I92" s="24"/>
      <c r="J92" s="25">
        <f>H92</f>
        <v>0</v>
      </c>
      <c r="K92" s="25">
        <f>G92*H92</f>
        <v>0</v>
      </c>
      <c r="L92" s="25"/>
      <c r="M92" s="26">
        <f>K92</f>
        <v>0</v>
      </c>
      <c r="O92" s="356"/>
    </row>
    <row r="93" spans="1:15" s="68" customFormat="1" ht="25.5" x14ac:dyDescent="0.25">
      <c r="A93" s="42">
        <f t="shared" si="8"/>
        <v>83</v>
      </c>
      <c r="B93" s="15"/>
      <c r="C93" s="314" t="s">
        <v>46</v>
      </c>
      <c r="D93" s="315" t="s">
        <v>25</v>
      </c>
      <c r="E93" s="316" t="s">
        <v>12</v>
      </c>
      <c r="F93" s="317">
        <v>1.1000000000000001</v>
      </c>
      <c r="G93" s="318">
        <f>G89*F93</f>
        <v>29.59</v>
      </c>
      <c r="H93" s="3"/>
      <c r="I93" s="24"/>
      <c r="J93" s="25">
        <f>H93</f>
        <v>0</v>
      </c>
      <c r="K93" s="25">
        <f>G93*H93</f>
        <v>0</v>
      </c>
      <c r="L93" s="25"/>
      <c r="M93" s="26">
        <f>K93</f>
        <v>0</v>
      </c>
      <c r="O93" s="356"/>
    </row>
    <row r="94" spans="1:15" s="23" customFormat="1" ht="12.75" x14ac:dyDescent="0.25">
      <c r="A94" s="43">
        <f t="shared" si="8"/>
        <v>84</v>
      </c>
      <c r="B94" s="14" t="s">
        <v>113</v>
      </c>
      <c r="C94" s="8" t="s">
        <v>47</v>
      </c>
      <c r="D94" s="5" t="s">
        <v>22</v>
      </c>
      <c r="E94" s="6" t="s">
        <v>8</v>
      </c>
      <c r="F94" s="7">
        <v>1</v>
      </c>
      <c r="G94" s="313">
        <f>G95</f>
        <v>10.4</v>
      </c>
      <c r="H94" s="2"/>
      <c r="I94" s="4"/>
      <c r="J94" s="21">
        <f>I94</f>
        <v>0</v>
      </c>
      <c r="K94" s="21"/>
      <c r="L94" s="21">
        <f>G94*I94</f>
        <v>0</v>
      </c>
      <c r="M94" s="22">
        <f>L94</f>
        <v>0</v>
      </c>
      <c r="O94" s="354"/>
    </row>
    <row r="95" spans="1:15" s="68" customFormat="1" ht="25.5" x14ac:dyDescent="0.25">
      <c r="A95" s="42">
        <f t="shared" si="8"/>
        <v>85</v>
      </c>
      <c r="B95" s="15" t="s">
        <v>73</v>
      </c>
      <c r="C95" s="331" t="s">
        <v>70</v>
      </c>
      <c r="D95" s="315" t="s">
        <v>25</v>
      </c>
      <c r="E95" s="316" t="s">
        <v>8</v>
      </c>
      <c r="F95" s="317">
        <v>1</v>
      </c>
      <c r="G95" s="318">
        <f>4.5+5.9</f>
        <v>10.4</v>
      </c>
      <c r="H95" s="30"/>
      <c r="I95" s="24"/>
      <c r="J95" s="25">
        <f>H95</f>
        <v>0</v>
      </c>
      <c r="K95" s="25">
        <f>G95*H95</f>
        <v>0</v>
      </c>
      <c r="L95" s="25"/>
      <c r="M95" s="26">
        <f>K95</f>
        <v>0</v>
      </c>
      <c r="O95" s="356"/>
    </row>
    <row r="96" spans="1:15" s="68" customFormat="1" ht="25.5" x14ac:dyDescent="0.25">
      <c r="A96" s="42">
        <f t="shared" si="8"/>
        <v>86</v>
      </c>
      <c r="B96" s="15" t="s">
        <v>74</v>
      </c>
      <c r="C96" s="331" t="s">
        <v>71</v>
      </c>
      <c r="D96" s="315" t="s">
        <v>25</v>
      </c>
      <c r="E96" s="316" t="s">
        <v>24</v>
      </c>
      <c r="F96" s="317">
        <v>1.1000000000000001</v>
      </c>
      <c r="G96" s="318">
        <f>18.4*F96</f>
        <v>20.239999999999998</v>
      </c>
      <c r="H96" s="30"/>
      <c r="I96" s="24"/>
      <c r="J96" s="25">
        <f>H96</f>
        <v>0</v>
      </c>
      <c r="K96" s="25">
        <f>G96*H96</f>
        <v>0</v>
      </c>
      <c r="L96" s="25"/>
      <c r="M96" s="26">
        <f>K96</f>
        <v>0</v>
      </c>
      <c r="O96" s="356"/>
    </row>
    <row r="97" spans="1:15" s="23" customFormat="1" ht="12.75" x14ac:dyDescent="0.25">
      <c r="A97" s="43">
        <f t="shared" si="8"/>
        <v>87</v>
      </c>
      <c r="B97" s="14" t="s">
        <v>113</v>
      </c>
      <c r="C97" s="8" t="s">
        <v>48</v>
      </c>
      <c r="D97" s="5" t="s">
        <v>22</v>
      </c>
      <c r="E97" s="6" t="s">
        <v>8</v>
      </c>
      <c r="F97" s="7">
        <v>1</v>
      </c>
      <c r="G97" s="313">
        <f>G98</f>
        <v>5.2</v>
      </c>
      <c r="H97" s="2"/>
      <c r="I97" s="4"/>
      <c r="J97" s="21">
        <f>I97</f>
        <v>0</v>
      </c>
      <c r="K97" s="21"/>
      <c r="L97" s="21">
        <f>G97*I97</f>
        <v>0</v>
      </c>
      <c r="M97" s="22">
        <f>L97</f>
        <v>0</v>
      </c>
      <c r="O97" s="354"/>
    </row>
    <row r="98" spans="1:15" s="68" customFormat="1" ht="25.5" x14ac:dyDescent="0.2">
      <c r="A98" s="42">
        <f t="shared" si="8"/>
        <v>88</v>
      </c>
      <c r="B98" s="15" t="s">
        <v>75</v>
      </c>
      <c r="C98" s="332" t="s">
        <v>72</v>
      </c>
      <c r="D98" s="315" t="s">
        <v>25</v>
      </c>
      <c r="E98" s="316" t="s">
        <v>8</v>
      </c>
      <c r="F98" s="317">
        <v>1</v>
      </c>
      <c r="G98" s="318">
        <f>2.8+2.4</f>
        <v>5.2</v>
      </c>
      <c r="H98" s="30"/>
      <c r="I98" s="24"/>
      <c r="J98" s="25">
        <f>H98</f>
        <v>0</v>
      </c>
      <c r="K98" s="25">
        <f>G98*H98</f>
        <v>0</v>
      </c>
      <c r="L98" s="25"/>
      <c r="M98" s="26">
        <f>K98</f>
        <v>0</v>
      </c>
      <c r="O98" s="356"/>
    </row>
    <row r="99" spans="1:15" s="23" customFormat="1" ht="12.75" x14ac:dyDescent="0.25">
      <c r="A99" s="297">
        <f>ROW()-10</f>
        <v>89</v>
      </c>
      <c r="B99" s="298" t="s">
        <v>84</v>
      </c>
      <c r="C99" s="299" t="s">
        <v>117</v>
      </c>
      <c r="D99" s="48"/>
      <c r="E99" s="300"/>
      <c r="F99" s="301"/>
      <c r="G99" s="302"/>
      <c r="H99" s="49"/>
      <c r="I99" s="50"/>
      <c r="J99" s="51"/>
      <c r="K99" s="51"/>
      <c r="L99" s="51"/>
      <c r="M99" s="52"/>
      <c r="O99" s="354"/>
    </row>
    <row r="100" spans="1:15" s="44" customFormat="1" ht="25.5" customHeight="1" x14ac:dyDescent="0.25">
      <c r="A100" s="305">
        <f>ROW()-10</f>
        <v>90</v>
      </c>
      <c r="B100" s="306" t="s">
        <v>87</v>
      </c>
      <c r="C100" s="307" t="s">
        <v>88</v>
      </c>
      <c r="D100" s="36"/>
      <c r="E100" s="308"/>
      <c r="F100" s="309"/>
      <c r="G100" s="310"/>
      <c r="H100" s="39"/>
      <c r="I100" s="37"/>
      <c r="J100" s="28"/>
      <c r="K100" s="28"/>
      <c r="L100" s="28"/>
      <c r="M100" s="40"/>
      <c r="O100" s="355"/>
    </row>
    <row r="101" spans="1:15" s="23" customFormat="1" ht="12.75" x14ac:dyDescent="0.25">
      <c r="A101" s="43">
        <f t="shared" ref="A101:A108" si="9">ROW()-10</f>
        <v>91</v>
      </c>
      <c r="B101" s="14" t="s">
        <v>99</v>
      </c>
      <c r="C101" s="55" t="s">
        <v>100</v>
      </c>
      <c r="D101" s="5" t="s">
        <v>22</v>
      </c>
      <c r="E101" s="6" t="s">
        <v>8</v>
      </c>
      <c r="F101" s="7">
        <v>1</v>
      </c>
      <c r="G101" s="313">
        <f>(59.6+14.4)*10</f>
        <v>740</v>
      </c>
      <c r="H101" s="2"/>
      <c r="I101" s="4"/>
      <c r="J101" s="21">
        <f>I101</f>
        <v>0</v>
      </c>
      <c r="K101" s="21"/>
      <c r="L101" s="21">
        <f>G101*I101</f>
        <v>0</v>
      </c>
      <c r="M101" s="22">
        <f>L101</f>
        <v>0</v>
      </c>
      <c r="O101" s="354"/>
    </row>
    <row r="102" spans="1:15" s="68" customFormat="1" ht="25.5" x14ac:dyDescent="0.25">
      <c r="A102" s="42">
        <f t="shared" si="9"/>
        <v>92</v>
      </c>
      <c r="B102" s="15"/>
      <c r="C102" s="326" t="s">
        <v>13</v>
      </c>
      <c r="D102" s="315" t="s">
        <v>25</v>
      </c>
      <c r="E102" s="316" t="s">
        <v>14</v>
      </c>
      <c r="F102" s="317">
        <v>0.1</v>
      </c>
      <c r="G102" s="318">
        <f>G101*F102</f>
        <v>74</v>
      </c>
      <c r="H102" s="3"/>
      <c r="I102" s="24"/>
      <c r="J102" s="25">
        <f>H102</f>
        <v>0</v>
      </c>
      <c r="K102" s="25">
        <f>G102*H102</f>
        <v>0</v>
      </c>
      <c r="L102" s="25"/>
      <c r="M102" s="26">
        <f>K102</f>
        <v>0</v>
      </c>
      <c r="O102" s="356"/>
    </row>
    <row r="103" spans="1:15" s="68" customFormat="1" ht="25.5" x14ac:dyDescent="0.25">
      <c r="A103" s="42">
        <f t="shared" si="9"/>
        <v>93</v>
      </c>
      <c r="B103" s="15"/>
      <c r="C103" s="326" t="s">
        <v>101</v>
      </c>
      <c r="D103" s="315" t="s">
        <v>25</v>
      </c>
      <c r="E103" s="316" t="s">
        <v>10</v>
      </c>
      <c r="F103" s="317">
        <v>1.2</v>
      </c>
      <c r="G103" s="318">
        <f>G101*F103</f>
        <v>888</v>
      </c>
      <c r="H103" s="3"/>
      <c r="I103" s="24"/>
      <c r="J103" s="25">
        <f>H103</f>
        <v>0</v>
      </c>
      <c r="K103" s="25">
        <f>G103*H103</f>
        <v>0</v>
      </c>
      <c r="L103" s="25"/>
      <c r="M103" s="26">
        <f>K103</f>
        <v>0</v>
      </c>
      <c r="O103" s="356"/>
    </row>
    <row r="104" spans="1:15" s="68" customFormat="1" ht="25.5" x14ac:dyDescent="0.25">
      <c r="A104" s="42">
        <f t="shared" si="9"/>
        <v>94</v>
      </c>
      <c r="B104" s="15"/>
      <c r="C104" s="314" t="s">
        <v>23</v>
      </c>
      <c r="D104" s="315" t="s">
        <v>25</v>
      </c>
      <c r="E104" s="316" t="s">
        <v>10</v>
      </c>
      <c r="F104" s="317">
        <v>1.7</v>
      </c>
      <c r="G104" s="318">
        <f>G101*F104</f>
        <v>1258</v>
      </c>
      <c r="H104" s="3"/>
      <c r="I104" s="24"/>
      <c r="J104" s="25">
        <f>H104</f>
        <v>0</v>
      </c>
      <c r="K104" s="25">
        <f>G104*H104</f>
        <v>0</v>
      </c>
      <c r="L104" s="25"/>
      <c r="M104" s="26">
        <f>K104</f>
        <v>0</v>
      </c>
      <c r="O104" s="356"/>
    </row>
    <row r="105" spans="1:15" s="23" customFormat="1" ht="38.25" x14ac:dyDescent="0.25">
      <c r="A105" s="43">
        <f t="shared" si="9"/>
        <v>95</v>
      </c>
      <c r="B105" s="14" t="s">
        <v>102</v>
      </c>
      <c r="C105" s="8" t="s">
        <v>103</v>
      </c>
      <c r="D105" s="5" t="s">
        <v>22</v>
      </c>
      <c r="E105" s="6" t="s">
        <v>8</v>
      </c>
      <c r="F105" s="7">
        <v>1</v>
      </c>
      <c r="G105" s="313">
        <f>G101</f>
        <v>740</v>
      </c>
      <c r="H105" s="2"/>
      <c r="I105" s="4"/>
      <c r="J105" s="21">
        <f>I105</f>
        <v>0</v>
      </c>
      <c r="K105" s="21"/>
      <c r="L105" s="21">
        <f>G105*I105</f>
        <v>0</v>
      </c>
      <c r="M105" s="22">
        <f>L105</f>
        <v>0</v>
      </c>
      <c r="O105" s="354"/>
    </row>
    <row r="106" spans="1:15" s="68" customFormat="1" ht="25.5" x14ac:dyDescent="0.25">
      <c r="A106" s="42">
        <f t="shared" si="9"/>
        <v>96</v>
      </c>
      <c r="B106" s="15"/>
      <c r="C106" s="314" t="s">
        <v>13</v>
      </c>
      <c r="D106" s="315" t="s">
        <v>25</v>
      </c>
      <c r="E106" s="316" t="s">
        <v>14</v>
      </c>
      <c r="F106" s="317">
        <v>0.1</v>
      </c>
      <c r="G106" s="318">
        <f>G105*F106</f>
        <v>74</v>
      </c>
      <c r="H106" s="3"/>
      <c r="I106" s="24"/>
      <c r="J106" s="25">
        <f>H106</f>
        <v>0</v>
      </c>
      <c r="K106" s="25">
        <f>G106*H106</f>
        <v>0</v>
      </c>
      <c r="L106" s="25"/>
      <c r="M106" s="26">
        <f>K106</f>
        <v>0</v>
      </c>
      <c r="O106" s="356"/>
    </row>
    <row r="107" spans="1:15" s="68" customFormat="1" ht="25.5" x14ac:dyDescent="0.25">
      <c r="A107" s="42">
        <f t="shared" si="9"/>
        <v>97</v>
      </c>
      <c r="B107" s="38"/>
      <c r="C107" s="314" t="s">
        <v>118</v>
      </c>
      <c r="D107" s="315" t="s">
        <v>25</v>
      </c>
      <c r="E107" s="316" t="s">
        <v>14</v>
      </c>
      <c r="F107" s="317">
        <v>0.3</v>
      </c>
      <c r="G107" s="318">
        <f>59.6*10*F107</f>
        <v>178.8</v>
      </c>
      <c r="H107" s="3"/>
      <c r="I107" s="24"/>
      <c r="J107" s="25">
        <f>H107</f>
        <v>0</v>
      </c>
      <c r="K107" s="25">
        <f>G107*H107</f>
        <v>0</v>
      </c>
      <c r="L107" s="25"/>
      <c r="M107" s="26">
        <f>K107</f>
        <v>0</v>
      </c>
      <c r="O107" s="356"/>
    </row>
    <row r="108" spans="1:15" s="68" customFormat="1" ht="25.5" x14ac:dyDescent="0.25">
      <c r="A108" s="42">
        <f t="shared" si="9"/>
        <v>98</v>
      </c>
      <c r="B108" s="38"/>
      <c r="C108" s="314" t="s">
        <v>122</v>
      </c>
      <c r="D108" s="315" t="s">
        <v>25</v>
      </c>
      <c r="E108" s="316" t="s">
        <v>14</v>
      </c>
      <c r="F108" s="317">
        <v>0.3</v>
      </c>
      <c r="G108" s="318">
        <f>14.4*10*F108</f>
        <v>43.2</v>
      </c>
      <c r="H108" s="3"/>
      <c r="I108" s="24"/>
      <c r="J108" s="25">
        <f>H108</f>
        <v>0</v>
      </c>
      <c r="K108" s="25">
        <f>G108*H108</f>
        <v>0</v>
      </c>
      <c r="L108" s="25"/>
      <c r="M108" s="26">
        <f>K108</f>
        <v>0</v>
      </c>
      <c r="O108" s="356"/>
    </row>
    <row r="109" spans="1:15" s="44" customFormat="1" ht="25.5" customHeight="1" x14ac:dyDescent="0.25">
      <c r="A109" s="256">
        <f>ROW()-10</f>
        <v>99</v>
      </c>
      <c r="B109" s="306" t="s">
        <v>110</v>
      </c>
      <c r="C109" s="307" t="s">
        <v>109</v>
      </c>
      <c r="D109" s="36"/>
      <c r="E109" s="308"/>
      <c r="F109" s="309"/>
      <c r="G109" s="310"/>
      <c r="H109" s="39"/>
      <c r="I109" s="37"/>
      <c r="J109" s="28"/>
      <c r="K109" s="28"/>
      <c r="L109" s="28"/>
      <c r="M109" s="40"/>
      <c r="O109" s="355"/>
    </row>
    <row r="110" spans="1:15" s="27" customFormat="1" ht="12.75" x14ac:dyDescent="0.25">
      <c r="A110" s="43">
        <f t="shared" ref="A110:A129" si="10">ROW()-10</f>
        <v>100</v>
      </c>
      <c r="B110" s="14" t="s">
        <v>110</v>
      </c>
      <c r="C110" s="55" t="s">
        <v>21</v>
      </c>
      <c r="D110" s="5" t="s">
        <v>22</v>
      </c>
      <c r="E110" s="6" t="s">
        <v>8</v>
      </c>
      <c r="F110" s="7">
        <v>1</v>
      </c>
      <c r="G110" s="18">
        <f>201.9*10</f>
        <v>2019</v>
      </c>
      <c r="H110" s="2"/>
      <c r="I110" s="4"/>
      <c r="J110" s="21">
        <f>I110</f>
        <v>0</v>
      </c>
      <c r="K110" s="21"/>
      <c r="L110" s="21">
        <f>G110*I110</f>
        <v>0</v>
      </c>
      <c r="M110" s="22">
        <f>L110</f>
        <v>0</v>
      </c>
      <c r="O110" s="357"/>
    </row>
    <row r="111" spans="1:15" s="27" customFormat="1" ht="25.5" x14ac:dyDescent="0.25">
      <c r="A111" s="42">
        <f t="shared" si="10"/>
        <v>101</v>
      </c>
      <c r="B111" s="15"/>
      <c r="C111" s="326" t="s">
        <v>13</v>
      </c>
      <c r="D111" s="315" t="s">
        <v>25</v>
      </c>
      <c r="E111" s="316" t="s">
        <v>14</v>
      </c>
      <c r="F111" s="317">
        <v>0.1</v>
      </c>
      <c r="G111" s="9">
        <f>G110*F111</f>
        <v>201.9</v>
      </c>
      <c r="H111" s="3"/>
      <c r="I111" s="24"/>
      <c r="J111" s="25">
        <f>H111</f>
        <v>0</v>
      </c>
      <c r="K111" s="25">
        <f>G111*H111</f>
        <v>0</v>
      </c>
      <c r="L111" s="25"/>
      <c r="M111" s="26">
        <f>K111</f>
        <v>0</v>
      </c>
      <c r="O111" s="357"/>
    </row>
    <row r="112" spans="1:15" s="27" customFormat="1" ht="25.5" x14ac:dyDescent="0.25">
      <c r="A112" s="42">
        <f t="shared" si="10"/>
        <v>102</v>
      </c>
      <c r="B112" s="15"/>
      <c r="C112" s="326" t="s">
        <v>52</v>
      </c>
      <c r="D112" s="315" t="s">
        <v>25</v>
      </c>
      <c r="E112" s="316" t="s">
        <v>10</v>
      </c>
      <c r="F112" s="317">
        <v>1.2</v>
      </c>
      <c r="G112" s="9">
        <f>G110*F112</f>
        <v>2422.8000000000002</v>
      </c>
      <c r="H112" s="3"/>
      <c r="I112" s="53"/>
      <c r="J112" s="25">
        <f>H112</f>
        <v>0</v>
      </c>
      <c r="K112" s="25">
        <f>G112*H112</f>
        <v>0</v>
      </c>
      <c r="L112" s="25"/>
      <c r="M112" s="26">
        <f>K112</f>
        <v>0</v>
      </c>
      <c r="O112" s="357"/>
    </row>
    <row r="113" spans="1:15" s="27" customFormat="1" ht="25.5" x14ac:dyDescent="0.25">
      <c r="A113" s="42">
        <f t="shared" si="10"/>
        <v>103</v>
      </c>
      <c r="B113" s="15"/>
      <c r="C113" s="314" t="s">
        <v>23</v>
      </c>
      <c r="D113" s="315" t="s">
        <v>25</v>
      </c>
      <c r="E113" s="316" t="s">
        <v>10</v>
      </c>
      <c r="F113" s="317">
        <v>1.7</v>
      </c>
      <c r="G113" s="9">
        <f>G110*F113</f>
        <v>3432.3</v>
      </c>
      <c r="H113" s="3"/>
      <c r="I113" s="24"/>
      <c r="J113" s="25">
        <f>H113</f>
        <v>0</v>
      </c>
      <c r="K113" s="25">
        <f>G113*H113</f>
        <v>0</v>
      </c>
      <c r="L113" s="25"/>
      <c r="M113" s="26">
        <f>K113</f>
        <v>0</v>
      </c>
      <c r="O113" s="357"/>
    </row>
    <row r="114" spans="1:15" s="27" customFormat="1" ht="45" customHeight="1" x14ac:dyDescent="0.25">
      <c r="A114" s="43">
        <f t="shared" si="10"/>
        <v>104</v>
      </c>
      <c r="B114" s="14" t="s">
        <v>110</v>
      </c>
      <c r="C114" s="54" t="s">
        <v>18</v>
      </c>
      <c r="D114" s="5" t="s">
        <v>22</v>
      </c>
      <c r="E114" s="6" t="s">
        <v>8</v>
      </c>
      <c r="F114" s="7">
        <v>1</v>
      </c>
      <c r="G114" s="18">
        <f>20.95*10</f>
        <v>209.5</v>
      </c>
      <c r="H114" s="2"/>
      <c r="I114" s="4"/>
      <c r="J114" s="21">
        <f>I114</f>
        <v>0</v>
      </c>
      <c r="K114" s="21"/>
      <c r="L114" s="21">
        <f>G114*I114</f>
        <v>0</v>
      </c>
      <c r="M114" s="22">
        <f>L114</f>
        <v>0</v>
      </c>
      <c r="O114" s="357"/>
    </row>
    <row r="115" spans="1:15" s="68" customFormat="1" ht="25.5" x14ac:dyDescent="0.25">
      <c r="A115" s="42">
        <f t="shared" si="10"/>
        <v>105</v>
      </c>
      <c r="B115" s="15"/>
      <c r="C115" s="314" t="s">
        <v>58</v>
      </c>
      <c r="D115" s="315" t="s">
        <v>25</v>
      </c>
      <c r="E115" s="316" t="s">
        <v>8</v>
      </c>
      <c r="F115" s="317">
        <v>1.07</v>
      </c>
      <c r="G115" s="318">
        <f>G114*F115</f>
        <v>224.17</v>
      </c>
      <c r="H115" s="3"/>
      <c r="I115" s="24"/>
      <c r="J115" s="25">
        <f>H115</f>
        <v>0</v>
      </c>
      <c r="K115" s="25">
        <f>G115*H115</f>
        <v>0</v>
      </c>
      <c r="L115" s="25"/>
      <c r="M115" s="26">
        <f>K115</f>
        <v>0</v>
      </c>
      <c r="O115" s="356"/>
    </row>
    <row r="116" spans="1:15" s="68" customFormat="1" ht="25.5" x14ac:dyDescent="0.25">
      <c r="A116" s="42">
        <f t="shared" si="10"/>
        <v>106</v>
      </c>
      <c r="B116" s="15"/>
      <c r="C116" s="314" t="s">
        <v>9</v>
      </c>
      <c r="D116" s="315" t="s">
        <v>25</v>
      </c>
      <c r="E116" s="316" t="s">
        <v>10</v>
      </c>
      <c r="F116" s="317">
        <v>12</v>
      </c>
      <c r="G116" s="318">
        <f>G114*0.3*F116</f>
        <v>754.2</v>
      </c>
      <c r="H116" s="3"/>
      <c r="I116" s="24"/>
      <c r="J116" s="25">
        <f>H116</f>
        <v>0</v>
      </c>
      <c r="K116" s="25">
        <f>G116*H116</f>
        <v>0</v>
      </c>
      <c r="L116" s="25"/>
      <c r="M116" s="26">
        <f>K116</f>
        <v>0</v>
      </c>
      <c r="O116" s="356"/>
    </row>
    <row r="117" spans="1:15" s="68" customFormat="1" ht="25.5" x14ac:dyDescent="0.25">
      <c r="A117" s="42">
        <f t="shared" si="10"/>
        <v>107</v>
      </c>
      <c r="B117" s="15"/>
      <c r="C117" s="314" t="s">
        <v>11</v>
      </c>
      <c r="D117" s="315" t="s">
        <v>25</v>
      </c>
      <c r="E117" s="316" t="s">
        <v>10</v>
      </c>
      <c r="F117" s="317">
        <v>0.25</v>
      </c>
      <c r="G117" s="318">
        <f>G114*0.3*F117</f>
        <v>15.71</v>
      </c>
      <c r="H117" s="3"/>
      <c r="I117" s="24"/>
      <c r="J117" s="25">
        <f>H117</f>
        <v>0</v>
      </c>
      <c r="K117" s="25">
        <f>G117*H117</f>
        <v>0</v>
      </c>
      <c r="L117" s="25"/>
      <c r="M117" s="26">
        <f>K117</f>
        <v>0</v>
      </c>
      <c r="O117" s="356"/>
    </row>
    <row r="118" spans="1:15" s="68" customFormat="1" ht="25.5" x14ac:dyDescent="0.25">
      <c r="A118" s="42">
        <f t="shared" si="10"/>
        <v>108</v>
      </c>
      <c r="B118" s="15"/>
      <c r="C118" s="314" t="s">
        <v>46</v>
      </c>
      <c r="D118" s="315" t="s">
        <v>25</v>
      </c>
      <c r="E118" s="316" t="s">
        <v>12</v>
      </c>
      <c r="F118" s="317">
        <v>1.1000000000000001</v>
      </c>
      <c r="G118" s="318">
        <f>9.92*10*F118</f>
        <v>109.12</v>
      </c>
      <c r="H118" s="3"/>
      <c r="I118" s="24"/>
      <c r="J118" s="25">
        <f>H118</f>
        <v>0</v>
      </c>
      <c r="K118" s="25">
        <f>G118*H118</f>
        <v>0</v>
      </c>
      <c r="L118" s="25"/>
      <c r="M118" s="26">
        <f>K118</f>
        <v>0</v>
      </c>
      <c r="O118" s="356"/>
    </row>
    <row r="119" spans="1:15" s="27" customFormat="1" ht="12.75" x14ac:dyDescent="0.25">
      <c r="A119" s="43">
        <f t="shared" si="10"/>
        <v>109</v>
      </c>
      <c r="B119" s="14" t="s">
        <v>110</v>
      </c>
      <c r="C119" s="8" t="s">
        <v>19</v>
      </c>
      <c r="D119" s="5" t="s">
        <v>22</v>
      </c>
      <c r="E119" s="6" t="s">
        <v>8</v>
      </c>
      <c r="F119" s="7">
        <v>1</v>
      </c>
      <c r="G119" s="18">
        <f>G110</f>
        <v>2019</v>
      </c>
      <c r="H119" s="2"/>
      <c r="I119" s="4"/>
      <c r="J119" s="21">
        <f>I119</f>
        <v>0</v>
      </c>
      <c r="K119" s="21"/>
      <c r="L119" s="21">
        <f>G119*I119</f>
        <v>0</v>
      </c>
      <c r="M119" s="22">
        <f>L119</f>
        <v>0</v>
      </c>
      <c r="O119" s="357"/>
    </row>
    <row r="120" spans="1:15" s="68" customFormat="1" ht="25.5" x14ac:dyDescent="0.25">
      <c r="A120" s="42">
        <f t="shared" si="10"/>
        <v>110</v>
      </c>
      <c r="B120" s="15"/>
      <c r="C120" s="314" t="s">
        <v>13</v>
      </c>
      <c r="D120" s="315" t="s">
        <v>25</v>
      </c>
      <c r="E120" s="316" t="s">
        <v>14</v>
      </c>
      <c r="F120" s="317">
        <v>0.1</v>
      </c>
      <c r="G120" s="318">
        <f>G119*F120</f>
        <v>201.9</v>
      </c>
      <c r="H120" s="3"/>
      <c r="I120" s="24"/>
      <c r="J120" s="25">
        <f>H120</f>
        <v>0</v>
      </c>
      <c r="K120" s="25">
        <f>G120*H120</f>
        <v>0</v>
      </c>
      <c r="L120" s="25"/>
      <c r="M120" s="26">
        <f>K120</f>
        <v>0</v>
      </c>
      <c r="O120" s="356"/>
    </row>
    <row r="121" spans="1:15" s="68" customFormat="1" ht="25.5" x14ac:dyDescent="0.25">
      <c r="A121" s="42">
        <f t="shared" si="10"/>
        <v>111</v>
      </c>
      <c r="B121" s="15"/>
      <c r="C121" s="314" t="s">
        <v>104</v>
      </c>
      <c r="D121" s="315" t="s">
        <v>25</v>
      </c>
      <c r="E121" s="316" t="s">
        <v>14</v>
      </c>
      <c r="F121" s="317">
        <v>0.3</v>
      </c>
      <c r="G121" s="318">
        <f>181.89*10*F121</f>
        <v>545.66999999999996</v>
      </c>
      <c r="H121" s="3"/>
      <c r="I121" s="24"/>
      <c r="J121" s="25">
        <f>H121</f>
        <v>0</v>
      </c>
      <c r="K121" s="25">
        <f>G121*H121</f>
        <v>0</v>
      </c>
      <c r="L121" s="25"/>
      <c r="M121" s="26">
        <f>K121</f>
        <v>0</v>
      </c>
      <c r="O121" s="356"/>
    </row>
    <row r="122" spans="1:15" s="68" customFormat="1" ht="25.5" x14ac:dyDescent="0.25">
      <c r="A122" s="42">
        <f t="shared" si="10"/>
        <v>112</v>
      </c>
      <c r="B122" s="15"/>
      <c r="C122" s="314" t="s">
        <v>105</v>
      </c>
      <c r="D122" s="315" t="s">
        <v>25</v>
      </c>
      <c r="E122" s="316" t="s">
        <v>14</v>
      </c>
      <c r="F122" s="317">
        <v>0.3</v>
      </c>
      <c r="G122" s="318">
        <f>13.1*10*F122</f>
        <v>39.299999999999997</v>
      </c>
      <c r="H122" s="3"/>
      <c r="I122" s="24"/>
      <c r="J122" s="25">
        <f>H122</f>
        <v>0</v>
      </c>
      <c r="K122" s="25">
        <f>G122*H122</f>
        <v>0</v>
      </c>
      <c r="L122" s="25"/>
      <c r="M122" s="26">
        <f>K122</f>
        <v>0</v>
      </c>
      <c r="O122" s="356"/>
    </row>
    <row r="123" spans="1:15" s="68" customFormat="1" ht="25.5" x14ac:dyDescent="0.25">
      <c r="A123" s="42">
        <f t="shared" si="10"/>
        <v>113</v>
      </c>
      <c r="B123" s="15"/>
      <c r="C123" s="314" t="s">
        <v>106</v>
      </c>
      <c r="D123" s="315" t="s">
        <v>25</v>
      </c>
      <c r="E123" s="316" t="s">
        <v>14</v>
      </c>
      <c r="F123" s="317">
        <v>0.3</v>
      </c>
      <c r="G123" s="318">
        <f>6.91*10*F123</f>
        <v>20.73</v>
      </c>
      <c r="H123" s="3"/>
      <c r="I123" s="24"/>
      <c r="J123" s="25">
        <f>H123</f>
        <v>0</v>
      </c>
      <c r="K123" s="25">
        <f>G123*H123</f>
        <v>0</v>
      </c>
      <c r="L123" s="25"/>
      <c r="M123" s="26">
        <f>K123</f>
        <v>0</v>
      </c>
      <c r="O123" s="356"/>
    </row>
    <row r="124" spans="1:15" s="27" customFormat="1" ht="21.75" customHeight="1" x14ac:dyDescent="0.25">
      <c r="A124" s="43">
        <f t="shared" si="10"/>
        <v>114</v>
      </c>
      <c r="B124" s="14" t="s">
        <v>110</v>
      </c>
      <c r="C124" s="8" t="s">
        <v>20</v>
      </c>
      <c r="D124" s="5" t="s">
        <v>22</v>
      </c>
      <c r="E124" s="6" t="s">
        <v>24</v>
      </c>
      <c r="F124" s="7">
        <v>1</v>
      </c>
      <c r="G124" s="18">
        <f>84.12*10</f>
        <v>841.2</v>
      </c>
      <c r="H124" s="2"/>
      <c r="I124" s="4"/>
      <c r="J124" s="21">
        <f>I124</f>
        <v>0</v>
      </c>
      <c r="K124" s="21"/>
      <c r="L124" s="21">
        <f>G124*I124</f>
        <v>0</v>
      </c>
      <c r="M124" s="22">
        <f>L124</f>
        <v>0</v>
      </c>
      <c r="O124" s="357"/>
    </row>
    <row r="125" spans="1:15" s="27" customFormat="1" ht="25.5" customHeight="1" x14ac:dyDescent="0.25">
      <c r="A125" s="42">
        <f t="shared" si="10"/>
        <v>115</v>
      </c>
      <c r="B125" s="15"/>
      <c r="C125" s="314" t="s">
        <v>32</v>
      </c>
      <c r="D125" s="315" t="s">
        <v>25</v>
      </c>
      <c r="E125" s="328" t="s">
        <v>10</v>
      </c>
      <c r="F125" s="329">
        <v>0.05</v>
      </c>
      <c r="G125" s="318">
        <f>G124*0.2*F125</f>
        <v>8.41</v>
      </c>
      <c r="H125" s="3"/>
      <c r="I125" s="24"/>
      <c r="J125" s="25">
        <f>H125</f>
        <v>0</v>
      </c>
      <c r="K125" s="25">
        <f>G125*H125</f>
        <v>0</v>
      </c>
      <c r="L125" s="25"/>
      <c r="M125" s="26">
        <f>K125</f>
        <v>0</v>
      </c>
      <c r="O125" s="357"/>
    </row>
    <row r="126" spans="1:15" s="27" customFormat="1" ht="25.5" x14ac:dyDescent="0.25">
      <c r="A126" s="42">
        <f t="shared" si="10"/>
        <v>116</v>
      </c>
      <c r="B126" s="15"/>
      <c r="C126" s="314" t="s">
        <v>33</v>
      </c>
      <c r="D126" s="315" t="s">
        <v>25</v>
      </c>
      <c r="E126" s="328" t="s">
        <v>10</v>
      </c>
      <c r="F126" s="329">
        <v>10</v>
      </c>
      <c r="G126" s="318">
        <f>G124*0.2*F126</f>
        <v>1682.4</v>
      </c>
      <c r="H126" s="3"/>
      <c r="I126" s="24"/>
      <c r="J126" s="25">
        <f>H126</f>
        <v>0</v>
      </c>
      <c r="K126" s="25">
        <f>G126*H126</f>
        <v>0</v>
      </c>
      <c r="L126" s="25"/>
      <c r="M126" s="26">
        <f>K126</f>
        <v>0</v>
      </c>
      <c r="O126" s="357"/>
    </row>
    <row r="127" spans="1:15" s="27" customFormat="1" ht="25.5" x14ac:dyDescent="0.25">
      <c r="A127" s="42">
        <f t="shared" si="10"/>
        <v>117</v>
      </c>
      <c r="B127" s="15"/>
      <c r="C127" s="314" t="s">
        <v>13</v>
      </c>
      <c r="D127" s="315" t="s">
        <v>25</v>
      </c>
      <c r="E127" s="316" t="s">
        <v>14</v>
      </c>
      <c r="F127" s="317">
        <v>0.1</v>
      </c>
      <c r="G127" s="318">
        <f>G124*0.2*F127</f>
        <v>16.82</v>
      </c>
      <c r="H127" s="3"/>
      <c r="I127" s="24"/>
      <c r="J127" s="25">
        <f>H127</f>
        <v>0</v>
      </c>
      <c r="K127" s="25">
        <f>G127*H127</f>
        <v>0</v>
      </c>
      <c r="L127" s="25"/>
      <c r="M127" s="26">
        <f>K127</f>
        <v>0</v>
      </c>
      <c r="O127" s="357"/>
    </row>
    <row r="128" spans="1:15" s="27" customFormat="1" ht="25.5" x14ac:dyDescent="0.25">
      <c r="A128" s="42">
        <f t="shared" si="10"/>
        <v>118</v>
      </c>
      <c r="B128" s="15"/>
      <c r="C128" s="314" t="s">
        <v>23</v>
      </c>
      <c r="D128" s="330" t="s">
        <v>25</v>
      </c>
      <c r="E128" s="328" t="s">
        <v>10</v>
      </c>
      <c r="F128" s="329">
        <v>1.7</v>
      </c>
      <c r="G128" s="318">
        <f>G124*0.2*F128</f>
        <v>286.01</v>
      </c>
      <c r="H128" s="3"/>
      <c r="I128" s="24"/>
      <c r="J128" s="25">
        <f>H128</f>
        <v>0</v>
      </c>
      <c r="K128" s="25">
        <f>G128*H128</f>
        <v>0</v>
      </c>
      <c r="L128" s="25"/>
      <c r="M128" s="26">
        <f>K128</f>
        <v>0</v>
      </c>
      <c r="O128" s="357"/>
    </row>
    <row r="129" spans="1:15" s="68" customFormat="1" ht="25.5" x14ac:dyDescent="0.25">
      <c r="A129" s="42">
        <f t="shared" si="10"/>
        <v>119</v>
      </c>
      <c r="B129" s="15"/>
      <c r="C129" s="314" t="s">
        <v>104</v>
      </c>
      <c r="D129" s="315" t="s">
        <v>25</v>
      </c>
      <c r="E129" s="316" t="s">
        <v>14</v>
      </c>
      <c r="F129" s="317">
        <v>0.3</v>
      </c>
      <c r="G129" s="318">
        <f>84.12*0.2*10*F129</f>
        <v>50.47</v>
      </c>
      <c r="H129" s="3"/>
      <c r="I129" s="69"/>
      <c r="J129" s="25">
        <f>H129</f>
        <v>0</v>
      </c>
      <c r="K129" s="25">
        <f>G129*H129</f>
        <v>0</v>
      </c>
      <c r="L129" s="25"/>
      <c r="M129" s="26">
        <f>K129</f>
        <v>0</v>
      </c>
      <c r="O129" s="356"/>
    </row>
    <row r="130" spans="1:15" s="44" customFormat="1" ht="25.5" customHeight="1" x14ac:dyDescent="0.25">
      <c r="A130" s="305">
        <f>ROW()-10</f>
        <v>120</v>
      </c>
      <c r="B130" s="306" t="s">
        <v>113</v>
      </c>
      <c r="C130" s="307" t="s">
        <v>112</v>
      </c>
      <c r="D130" s="36"/>
      <c r="E130" s="308"/>
      <c r="F130" s="309"/>
      <c r="G130" s="310"/>
      <c r="H130" s="39"/>
      <c r="I130" s="37"/>
      <c r="J130" s="28"/>
      <c r="K130" s="28"/>
      <c r="L130" s="28"/>
      <c r="M130" s="40"/>
      <c r="O130" s="355"/>
    </row>
    <row r="131" spans="1:15" s="27" customFormat="1" ht="12.75" x14ac:dyDescent="0.25">
      <c r="A131" s="43">
        <f t="shared" ref="A131:A142" si="11">ROW()-10</f>
        <v>121</v>
      </c>
      <c r="B131" s="14" t="s">
        <v>113</v>
      </c>
      <c r="C131" s="8" t="s">
        <v>16</v>
      </c>
      <c r="D131" s="5" t="s">
        <v>22</v>
      </c>
      <c r="E131" s="6" t="s">
        <v>8</v>
      </c>
      <c r="F131" s="7">
        <v>1</v>
      </c>
      <c r="G131" s="18">
        <f>61.2*10</f>
        <v>612</v>
      </c>
      <c r="H131" s="2"/>
      <c r="I131" s="4"/>
      <c r="J131" s="21">
        <f>I131</f>
        <v>0</v>
      </c>
      <c r="K131" s="21"/>
      <c r="L131" s="21">
        <f>G131*I131</f>
        <v>0</v>
      </c>
      <c r="M131" s="22">
        <f>L131</f>
        <v>0</v>
      </c>
      <c r="O131" s="357"/>
    </row>
    <row r="132" spans="1:15" s="27" customFormat="1" ht="25.5" x14ac:dyDescent="0.25">
      <c r="A132" s="41">
        <f t="shared" si="11"/>
        <v>122</v>
      </c>
      <c r="B132" s="38" t="s">
        <v>59</v>
      </c>
      <c r="C132" s="314" t="s">
        <v>58</v>
      </c>
      <c r="D132" s="315" t="s">
        <v>25</v>
      </c>
      <c r="E132" s="316" t="s">
        <v>8</v>
      </c>
      <c r="F132" s="317">
        <v>1.07</v>
      </c>
      <c r="G132" s="9">
        <f>G131*F132</f>
        <v>654.84</v>
      </c>
      <c r="H132" s="3"/>
      <c r="I132" s="24"/>
      <c r="J132" s="25">
        <f>H132</f>
        <v>0</v>
      </c>
      <c r="K132" s="25">
        <f>G132*H132</f>
        <v>0</v>
      </c>
      <c r="L132" s="25"/>
      <c r="M132" s="26">
        <f>K132</f>
        <v>0</v>
      </c>
      <c r="O132" s="357"/>
    </row>
    <row r="133" spans="1:15" s="27" customFormat="1" ht="25.5" x14ac:dyDescent="0.25">
      <c r="A133" s="42">
        <f t="shared" si="11"/>
        <v>123</v>
      </c>
      <c r="B133" s="15"/>
      <c r="C133" s="314" t="s">
        <v>9</v>
      </c>
      <c r="D133" s="315" t="s">
        <v>25</v>
      </c>
      <c r="E133" s="316" t="s">
        <v>10</v>
      </c>
      <c r="F133" s="317">
        <v>12</v>
      </c>
      <c r="G133" s="9">
        <f>G131*F133</f>
        <v>7344</v>
      </c>
      <c r="H133" s="3"/>
      <c r="I133" s="24"/>
      <c r="J133" s="25">
        <f>H133</f>
        <v>0</v>
      </c>
      <c r="K133" s="25">
        <f>G133*H133</f>
        <v>0</v>
      </c>
      <c r="L133" s="25"/>
      <c r="M133" s="26">
        <f>K133</f>
        <v>0</v>
      </c>
      <c r="O133" s="357"/>
    </row>
    <row r="134" spans="1:15" s="27" customFormat="1" ht="25.5" x14ac:dyDescent="0.25">
      <c r="A134" s="42">
        <f t="shared" si="11"/>
        <v>124</v>
      </c>
      <c r="B134" s="15"/>
      <c r="C134" s="314" t="s">
        <v>11</v>
      </c>
      <c r="D134" s="315" t="s">
        <v>25</v>
      </c>
      <c r="E134" s="316" t="s">
        <v>10</v>
      </c>
      <c r="F134" s="317">
        <v>0.25</v>
      </c>
      <c r="G134" s="9">
        <f>G131*F134</f>
        <v>153</v>
      </c>
      <c r="H134" s="3"/>
      <c r="I134" s="24"/>
      <c r="J134" s="25">
        <f>H134</f>
        <v>0</v>
      </c>
      <c r="K134" s="25">
        <f>G134*H134</f>
        <v>0</v>
      </c>
      <c r="L134" s="25"/>
      <c r="M134" s="26">
        <f>K134</f>
        <v>0</v>
      </c>
      <c r="O134" s="357"/>
    </row>
    <row r="135" spans="1:15" s="27" customFormat="1" ht="12.75" x14ac:dyDescent="0.25">
      <c r="A135" s="43">
        <f t="shared" ref="A135:A145" si="12">ROW()-10</f>
        <v>125</v>
      </c>
      <c r="B135" s="14" t="s">
        <v>113</v>
      </c>
      <c r="C135" s="8" t="s">
        <v>62</v>
      </c>
      <c r="D135" s="5" t="s">
        <v>22</v>
      </c>
      <c r="E135" s="6" t="s">
        <v>8</v>
      </c>
      <c r="F135" s="7">
        <v>1</v>
      </c>
      <c r="G135" s="18">
        <f>7.2*10</f>
        <v>72</v>
      </c>
      <c r="H135" s="2"/>
      <c r="I135" s="4"/>
      <c r="J135" s="21">
        <f>I135</f>
        <v>0</v>
      </c>
      <c r="K135" s="21"/>
      <c r="L135" s="21">
        <f>G135*I135</f>
        <v>0</v>
      </c>
      <c r="M135" s="22">
        <f>L135</f>
        <v>0</v>
      </c>
      <c r="O135" s="357"/>
    </row>
    <row r="136" spans="1:15" s="27" customFormat="1" ht="25.5" x14ac:dyDescent="0.25">
      <c r="A136" s="41">
        <f t="shared" si="12"/>
        <v>126</v>
      </c>
      <c r="B136" s="38" t="s">
        <v>64</v>
      </c>
      <c r="C136" s="314" t="s">
        <v>67</v>
      </c>
      <c r="D136" s="315" t="s">
        <v>25</v>
      </c>
      <c r="E136" s="316" t="s">
        <v>8</v>
      </c>
      <c r="F136" s="317">
        <v>1.07</v>
      </c>
      <c r="G136" s="9">
        <f>G135*F136</f>
        <v>77.040000000000006</v>
      </c>
      <c r="H136" s="3"/>
      <c r="I136" s="24"/>
      <c r="J136" s="25">
        <f>H136</f>
        <v>0</v>
      </c>
      <c r="K136" s="25">
        <f>G136*H136</f>
        <v>0</v>
      </c>
      <c r="L136" s="25"/>
      <c r="M136" s="26">
        <f>K136</f>
        <v>0</v>
      </c>
      <c r="O136" s="357"/>
    </row>
    <row r="137" spans="1:15" s="27" customFormat="1" ht="25.5" x14ac:dyDescent="0.25">
      <c r="A137" s="42">
        <f t="shared" si="12"/>
        <v>127</v>
      </c>
      <c r="B137" s="15"/>
      <c r="C137" s="314" t="s">
        <v>9</v>
      </c>
      <c r="D137" s="315" t="s">
        <v>25</v>
      </c>
      <c r="E137" s="316" t="s">
        <v>10</v>
      </c>
      <c r="F137" s="317">
        <v>12</v>
      </c>
      <c r="G137" s="9">
        <f>G135*F137</f>
        <v>864</v>
      </c>
      <c r="H137" s="3"/>
      <c r="I137" s="24"/>
      <c r="J137" s="25">
        <f>H137</f>
        <v>0</v>
      </c>
      <c r="K137" s="25">
        <f>G137*H137</f>
        <v>0</v>
      </c>
      <c r="L137" s="25"/>
      <c r="M137" s="26">
        <f>K137</f>
        <v>0</v>
      </c>
      <c r="O137" s="357"/>
    </row>
    <row r="138" spans="1:15" s="27" customFormat="1" ht="25.5" x14ac:dyDescent="0.25">
      <c r="A138" s="42">
        <f t="shared" si="12"/>
        <v>128</v>
      </c>
      <c r="B138" s="15"/>
      <c r="C138" s="314" t="s">
        <v>11</v>
      </c>
      <c r="D138" s="315" t="s">
        <v>25</v>
      </c>
      <c r="E138" s="316" t="s">
        <v>10</v>
      </c>
      <c r="F138" s="317">
        <v>0.25</v>
      </c>
      <c r="G138" s="9">
        <f>G135*F138</f>
        <v>18</v>
      </c>
      <c r="H138" s="3"/>
      <c r="I138" s="24"/>
      <c r="J138" s="25">
        <f>H138</f>
        <v>0</v>
      </c>
      <c r="K138" s="25">
        <f>G138*H138</f>
        <v>0</v>
      </c>
      <c r="L138" s="25"/>
      <c r="M138" s="26">
        <f>K138</f>
        <v>0</v>
      </c>
      <c r="O138" s="357"/>
    </row>
    <row r="139" spans="1:15" s="27" customFormat="1" ht="25.5" x14ac:dyDescent="0.25">
      <c r="A139" s="43">
        <f t="shared" si="11"/>
        <v>129</v>
      </c>
      <c r="B139" s="14" t="s">
        <v>113</v>
      </c>
      <c r="C139" s="8" t="s">
        <v>17</v>
      </c>
      <c r="D139" s="5" t="s">
        <v>22</v>
      </c>
      <c r="E139" s="6" t="s">
        <v>12</v>
      </c>
      <c r="F139" s="7">
        <v>1</v>
      </c>
      <c r="G139" s="18">
        <f>55.6*10+9.7*10</f>
        <v>653</v>
      </c>
      <c r="H139" s="2"/>
      <c r="I139" s="4"/>
      <c r="J139" s="21">
        <f>I139</f>
        <v>0</v>
      </c>
      <c r="K139" s="21"/>
      <c r="L139" s="21">
        <f>G139*I139</f>
        <v>0</v>
      </c>
      <c r="M139" s="22">
        <f>L139</f>
        <v>0</v>
      </c>
      <c r="O139" s="357"/>
    </row>
    <row r="140" spans="1:15" s="27" customFormat="1" ht="25.5" x14ac:dyDescent="0.25">
      <c r="A140" s="42">
        <f t="shared" si="11"/>
        <v>130</v>
      </c>
      <c r="B140" s="15" t="s">
        <v>65</v>
      </c>
      <c r="C140" s="314" t="s">
        <v>66</v>
      </c>
      <c r="D140" s="315" t="s">
        <v>25</v>
      </c>
      <c r="E140" s="316" t="s">
        <v>8</v>
      </c>
      <c r="F140" s="317">
        <v>1.07</v>
      </c>
      <c r="G140" s="9">
        <f>G139*0.1*F140</f>
        <v>69.87</v>
      </c>
      <c r="H140" s="3"/>
      <c r="I140" s="24"/>
      <c r="J140" s="25">
        <f>H140</f>
        <v>0</v>
      </c>
      <c r="K140" s="25">
        <f>G140*H140</f>
        <v>0</v>
      </c>
      <c r="L140" s="25"/>
      <c r="M140" s="26">
        <f>K140</f>
        <v>0</v>
      </c>
      <c r="O140" s="357"/>
    </row>
    <row r="141" spans="1:15" s="27" customFormat="1" ht="25.5" x14ac:dyDescent="0.25">
      <c r="A141" s="42">
        <f t="shared" si="11"/>
        <v>131</v>
      </c>
      <c r="B141" s="15"/>
      <c r="C141" s="314" t="s">
        <v>9</v>
      </c>
      <c r="D141" s="315" t="s">
        <v>25</v>
      </c>
      <c r="E141" s="316" t="s">
        <v>10</v>
      </c>
      <c r="F141" s="317">
        <v>12</v>
      </c>
      <c r="G141" s="9">
        <f>G139*0.1*F141</f>
        <v>783.6</v>
      </c>
      <c r="H141" s="3"/>
      <c r="I141" s="24"/>
      <c r="J141" s="25">
        <f>H141</f>
        <v>0</v>
      </c>
      <c r="K141" s="25">
        <f>G141*H141</f>
        <v>0</v>
      </c>
      <c r="L141" s="25"/>
      <c r="M141" s="26">
        <f>K141</f>
        <v>0</v>
      </c>
      <c r="O141" s="357"/>
    </row>
    <row r="142" spans="1:15" s="27" customFormat="1" ht="25.5" x14ac:dyDescent="0.25">
      <c r="A142" s="42">
        <f t="shared" si="11"/>
        <v>132</v>
      </c>
      <c r="B142" s="15"/>
      <c r="C142" s="314" t="s">
        <v>11</v>
      </c>
      <c r="D142" s="315" t="s">
        <v>25</v>
      </c>
      <c r="E142" s="316" t="s">
        <v>10</v>
      </c>
      <c r="F142" s="317">
        <v>0.25</v>
      </c>
      <c r="G142" s="9">
        <f>G139*0.1*F142</f>
        <v>16.329999999999998</v>
      </c>
      <c r="H142" s="3"/>
      <c r="I142" s="24"/>
      <c r="J142" s="25">
        <f>H142</f>
        <v>0</v>
      </c>
      <c r="K142" s="25">
        <f>G142*H142</f>
        <v>0</v>
      </c>
      <c r="L142" s="25"/>
      <c r="M142" s="26">
        <f>K142</f>
        <v>0</v>
      </c>
      <c r="O142" s="357"/>
    </row>
    <row r="143" spans="1:15" s="27" customFormat="1" ht="12.75" x14ac:dyDescent="0.25">
      <c r="A143" s="43">
        <f t="shared" si="12"/>
        <v>133</v>
      </c>
      <c r="B143" s="14" t="s">
        <v>113</v>
      </c>
      <c r="C143" s="8" t="s">
        <v>76</v>
      </c>
      <c r="D143" s="5" t="s">
        <v>22</v>
      </c>
      <c r="E143" s="6" t="s">
        <v>12</v>
      </c>
      <c r="F143" s="7">
        <v>1</v>
      </c>
      <c r="G143" s="18">
        <f>9.3*10</f>
        <v>93</v>
      </c>
      <c r="H143" s="2"/>
      <c r="I143" s="4"/>
      <c r="J143" s="21">
        <f>I143</f>
        <v>0</v>
      </c>
      <c r="K143" s="21"/>
      <c r="L143" s="21">
        <f>G143*I143</f>
        <v>0</v>
      </c>
      <c r="M143" s="22">
        <f>L143</f>
        <v>0</v>
      </c>
      <c r="O143" s="357"/>
    </row>
    <row r="144" spans="1:15" s="27" customFormat="1" ht="25.5" x14ac:dyDescent="0.25">
      <c r="A144" s="42">
        <f t="shared" si="12"/>
        <v>134</v>
      </c>
      <c r="B144" s="15"/>
      <c r="C144" s="314" t="s">
        <v>130</v>
      </c>
      <c r="D144" s="315" t="s">
        <v>25</v>
      </c>
      <c r="E144" s="316" t="s">
        <v>14</v>
      </c>
      <c r="F144" s="317">
        <v>0.3</v>
      </c>
      <c r="G144" s="9">
        <f>G143*0.1*F144</f>
        <v>2.79</v>
      </c>
      <c r="H144" s="3"/>
      <c r="I144" s="24"/>
      <c r="J144" s="25">
        <f>H144</f>
        <v>0</v>
      </c>
      <c r="K144" s="25">
        <f>G144*H144</f>
        <v>0</v>
      </c>
      <c r="L144" s="25"/>
      <c r="M144" s="26">
        <f>K144</f>
        <v>0</v>
      </c>
      <c r="O144" s="357"/>
    </row>
    <row r="145" spans="1:15" s="27" customFormat="1" ht="25.5" x14ac:dyDescent="0.25">
      <c r="A145" s="42">
        <f t="shared" si="12"/>
        <v>135</v>
      </c>
      <c r="B145" s="15"/>
      <c r="C145" s="314" t="s">
        <v>13</v>
      </c>
      <c r="D145" s="315" t="s">
        <v>25</v>
      </c>
      <c r="E145" s="316" t="s">
        <v>14</v>
      </c>
      <c r="F145" s="317">
        <v>0.1</v>
      </c>
      <c r="G145" s="9">
        <f>G143*0.1*F145</f>
        <v>0.93</v>
      </c>
      <c r="H145" s="3"/>
      <c r="I145" s="24"/>
      <c r="J145" s="25">
        <f>H145</f>
        <v>0</v>
      </c>
      <c r="K145" s="25">
        <f>G145*H145</f>
        <v>0</v>
      </c>
      <c r="L145" s="25"/>
      <c r="M145" s="26">
        <f>K145</f>
        <v>0</v>
      </c>
      <c r="O145" s="357"/>
    </row>
    <row r="146" spans="1:15" s="23" customFormat="1" ht="12.75" x14ac:dyDescent="0.25">
      <c r="A146" s="297">
        <f>ROW()-10</f>
        <v>136</v>
      </c>
      <c r="B146" s="298" t="s">
        <v>84</v>
      </c>
      <c r="C146" s="299" t="s">
        <v>119</v>
      </c>
      <c r="D146" s="48"/>
      <c r="E146" s="300"/>
      <c r="F146" s="301"/>
      <c r="G146" s="302"/>
      <c r="H146" s="49"/>
      <c r="I146" s="50"/>
      <c r="J146" s="51"/>
      <c r="K146" s="51"/>
      <c r="L146" s="51"/>
      <c r="M146" s="52"/>
      <c r="O146" s="354"/>
    </row>
    <row r="147" spans="1:15" s="44" customFormat="1" ht="25.5" customHeight="1" x14ac:dyDescent="0.25">
      <c r="A147" s="305">
        <f>ROW()-10</f>
        <v>137</v>
      </c>
      <c r="B147" s="306" t="s">
        <v>87</v>
      </c>
      <c r="C147" s="307" t="s">
        <v>88</v>
      </c>
      <c r="D147" s="36"/>
      <c r="E147" s="308"/>
      <c r="F147" s="309"/>
      <c r="G147" s="310"/>
      <c r="H147" s="39"/>
      <c r="I147" s="37"/>
      <c r="J147" s="28"/>
      <c r="K147" s="28"/>
      <c r="L147" s="28"/>
      <c r="M147" s="40"/>
      <c r="O147" s="355"/>
    </row>
    <row r="148" spans="1:15" s="23" customFormat="1" ht="12.75" x14ac:dyDescent="0.25">
      <c r="A148" s="319">
        <f t="shared" ref="A148:A157" si="13">ROW()-10</f>
        <v>138</v>
      </c>
      <c r="B148" s="320" t="s">
        <v>96</v>
      </c>
      <c r="C148" s="321" t="s">
        <v>97</v>
      </c>
      <c r="D148" s="322" t="s">
        <v>22</v>
      </c>
      <c r="E148" s="323" t="s">
        <v>8</v>
      </c>
      <c r="F148" s="143">
        <v>1</v>
      </c>
      <c r="G148" s="313">
        <v>59.1</v>
      </c>
      <c r="H148" s="2"/>
      <c r="I148" s="4"/>
      <c r="J148" s="21">
        <f>I148</f>
        <v>0</v>
      </c>
      <c r="K148" s="21"/>
      <c r="L148" s="21">
        <f>G148*I148</f>
        <v>0</v>
      </c>
      <c r="M148" s="22">
        <f>L148</f>
        <v>0</v>
      </c>
      <c r="O148" s="354"/>
    </row>
    <row r="149" spans="1:15" s="68" customFormat="1" ht="25.5" x14ac:dyDescent="0.25">
      <c r="A149" s="324">
        <f t="shared" si="13"/>
        <v>139</v>
      </c>
      <c r="B149" s="325"/>
      <c r="C149" s="314" t="s">
        <v>120</v>
      </c>
      <c r="D149" s="315" t="s">
        <v>25</v>
      </c>
      <c r="E149" s="316" t="s">
        <v>12</v>
      </c>
      <c r="F149" s="317">
        <v>1.1000000000000001</v>
      </c>
      <c r="G149" s="318">
        <f>G148*11*F149</f>
        <v>715.11</v>
      </c>
      <c r="H149" s="3"/>
      <c r="I149" s="24"/>
      <c r="J149" s="25">
        <f>H149</f>
        <v>0</v>
      </c>
      <c r="K149" s="25">
        <f>G149*H149</f>
        <v>0</v>
      </c>
      <c r="L149" s="25"/>
      <c r="M149" s="26">
        <f>K149</f>
        <v>0</v>
      </c>
      <c r="O149" s="356"/>
    </row>
    <row r="150" spans="1:15" s="23" customFormat="1" ht="12.75" x14ac:dyDescent="0.25">
      <c r="A150" s="43">
        <f t="shared" si="13"/>
        <v>140</v>
      </c>
      <c r="B150" s="14" t="s">
        <v>99</v>
      </c>
      <c r="C150" s="55" t="s">
        <v>100</v>
      </c>
      <c r="D150" s="5" t="s">
        <v>22</v>
      </c>
      <c r="E150" s="6" t="s">
        <v>8</v>
      </c>
      <c r="F150" s="7">
        <v>1</v>
      </c>
      <c r="G150" s="313">
        <v>15.4</v>
      </c>
      <c r="H150" s="2"/>
      <c r="I150" s="4"/>
      <c r="J150" s="21">
        <f>I150</f>
        <v>0</v>
      </c>
      <c r="K150" s="21"/>
      <c r="L150" s="21">
        <f>G150*I150</f>
        <v>0</v>
      </c>
      <c r="M150" s="22">
        <f>L150</f>
        <v>0</v>
      </c>
      <c r="O150" s="354"/>
    </row>
    <row r="151" spans="1:15" s="68" customFormat="1" ht="25.5" x14ac:dyDescent="0.25">
      <c r="A151" s="42">
        <f t="shared" si="13"/>
        <v>141</v>
      </c>
      <c r="B151" s="15"/>
      <c r="C151" s="326" t="s">
        <v>13</v>
      </c>
      <c r="D151" s="315" t="s">
        <v>25</v>
      </c>
      <c r="E151" s="316" t="s">
        <v>14</v>
      </c>
      <c r="F151" s="317">
        <v>0.1</v>
      </c>
      <c r="G151" s="318">
        <f>G150*F151</f>
        <v>1.54</v>
      </c>
      <c r="H151" s="3"/>
      <c r="I151" s="24"/>
      <c r="J151" s="25">
        <f>H151</f>
        <v>0</v>
      </c>
      <c r="K151" s="25">
        <f>G151*H151</f>
        <v>0</v>
      </c>
      <c r="L151" s="25"/>
      <c r="M151" s="26">
        <f>K151</f>
        <v>0</v>
      </c>
      <c r="O151" s="356"/>
    </row>
    <row r="152" spans="1:15" s="68" customFormat="1" ht="25.5" x14ac:dyDescent="0.25">
      <c r="A152" s="42">
        <f t="shared" si="13"/>
        <v>142</v>
      </c>
      <c r="B152" s="15"/>
      <c r="C152" s="326" t="s">
        <v>101</v>
      </c>
      <c r="D152" s="315" t="s">
        <v>25</v>
      </c>
      <c r="E152" s="316" t="s">
        <v>10</v>
      </c>
      <c r="F152" s="317">
        <v>1.2</v>
      </c>
      <c r="G152" s="318">
        <f>G150*F152</f>
        <v>18.48</v>
      </c>
      <c r="H152" s="3"/>
      <c r="I152" s="24"/>
      <c r="J152" s="25">
        <f>H152</f>
        <v>0</v>
      </c>
      <c r="K152" s="25">
        <f>G152*H152</f>
        <v>0</v>
      </c>
      <c r="L152" s="25"/>
      <c r="M152" s="26">
        <f>K152</f>
        <v>0</v>
      </c>
      <c r="O152" s="356"/>
    </row>
    <row r="153" spans="1:15" s="68" customFormat="1" ht="25.5" x14ac:dyDescent="0.25">
      <c r="A153" s="42">
        <f t="shared" si="13"/>
        <v>143</v>
      </c>
      <c r="B153" s="15"/>
      <c r="C153" s="314" t="s">
        <v>23</v>
      </c>
      <c r="D153" s="315" t="s">
        <v>25</v>
      </c>
      <c r="E153" s="316" t="s">
        <v>10</v>
      </c>
      <c r="F153" s="317">
        <v>1.7</v>
      </c>
      <c r="G153" s="318">
        <f>G150*F153</f>
        <v>26.18</v>
      </c>
      <c r="H153" s="3"/>
      <c r="I153" s="24"/>
      <c r="J153" s="25">
        <f>H153</f>
        <v>0</v>
      </c>
      <c r="K153" s="25">
        <f>G153*H153</f>
        <v>0</v>
      </c>
      <c r="L153" s="25"/>
      <c r="M153" s="26">
        <f>K153</f>
        <v>0</v>
      </c>
      <c r="O153" s="356"/>
    </row>
    <row r="154" spans="1:15" s="23" customFormat="1" ht="38.25" x14ac:dyDescent="0.25">
      <c r="A154" s="43">
        <f t="shared" si="13"/>
        <v>144</v>
      </c>
      <c r="B154" s="14" t="s">
        <v>102</v>
      </c>
      <c r="C154" s="8" t="s">
        <v>103</v>
      </c>
      <c r="D154" s="5" t="s">
        <v>22</v>
      </c>
      <c r="E154" s="6" t="s">
        <v>8</v>
      </c>
      <c r="F154" s="7">
        <v>1</v>
      </c>
      <c r="G154" s="313">
        <f>G148+G150</f>
        <v>74.5</v>
      </c>
      <c r="H154" s="2"/>
      <c r="I154" s="4"/>
      <c r="J154" s="21">
        <f>I154</f>
        <v>0</v>
      </c>
      <c r="K154" s="21"/>
      <c r="L154" s="21">
        <f>G154*I154</f>
        <v>0</v>
      </c>
      <c r="M154" s="22">
        <f>L154</f>
        <v>0</v>
      </c>
      <c r="O154" s="354"/>
    </row>
    <row r="155" spans="1:15" s="68" customFormat="1" ht="25.5" x14ac:dyDescent="0.25">
      <c r="A155" s="42">
        <f t="shared" si="13"/>
        <v>145</v>
      </c>
      <c r="B155" s="15"/>
      <c r="C155" s="314" t="s">
        <v>13</v>
      </c>
      <c r="D155" s="315" t="s">
        <v>25</v>
      </c>
      <c r="E155" s="316" t="s">
        <v>14</v>
      </c>
      <c r="F155" s="317">
        <v>0.1</v>
      </c>
      <c r="G155" s="318">
        <f>G154*F155</f>
        <v>7.45</v>
      </c>
      <c r="H155" s="3"/>
      <c r="I155" s="24"/>
      <c r="J155" s="25">
        <f>H155</f>
        <v>0</v>
      </c>
      <c r="K155" s="25">
        <f>G155*H155</f>
        <v>0</v>
      </c>
      <c r="L155" s="25"/>
      <c r="M155" s="26">
        <f>K155</f>
        <v>0</v>
      </c>
      <c r="O155" s="356"/>
    </row>
    <row r="156" spans="1:15" s="70" customFormat="1" ht="25.5" x14ac:dyDescent="0.25">
      <c r="A156" s="42">
        <f t="shared" si="13"/>
        <v>146</v>
      </c>
      <c r="B156" s="38"/>
      <c r="C156" s="314" t="s">
        <v>118</v>
      </c>
      <c r="D156" s="315" t="s">
        <v>25</v>
      </c>
      <c r="E156" s="316" t="s">
        <v>14</v>
      </c>
      <c r="F156" s="317">
        <v>0.3</v>
      </c>
      <c r="G156" s="318">
        <f>15.4*F156</f>
        <v>4.62</v>
      </c>
      <c r="H156" s="3"/>
      <c r="I156" s="24"/>
      <c r="J156" s="25">
        <f>H156</f>
        <v>0</v>
      </c>
      <c r="K156" s="25">
        <f>G156*H156</f>
        <v>0</v>
      </c>
      <c r="L156" s="25"/>
      <c r="M156" s="26">
        <f>K156</f>
        <v>0</v>
      </c>
      <c r="O156" s="358"/>
    </row>
    <row r="157" spans="1:15" s="70" customFormat="1" ht="51" x14ac:dyDescent="0.25">
      <c r="A157" s="42">
        <f t="shared" si="13"/>
        <v>147</v>
      </c>
      <c r="B157" s="38" t="s">
        <v>121</v>
      </c>
      <c r="C157" s="314" t="s">
        <v>106</v>
      </c>
      <c r="D157" s="315" t="s">
        <v>25</v>
      </c>
      <c r="E157" s="316" t="s">
        <v>14</v>
      </c>
      <c r="F157" s="317">
        <v>0.3</v>
      </c>
      <c r="G157" s="318">
        <f>(59.1+85.58*0.2)*F157</f>
        <v>22.86</v>
      </c>
      <c r="H157" s="3"/>
      <c r="I157" s="24"/>
      <c r="J157" s="25">
        <f>H157</f>
        <v>0</v>
      </c>
      <c r="K157" s="25">
        <f>G157*H157</f>
        <v>0</v>
      </c>
      <c r="L157" s="25"/>
      <c r="M157" s="26">
        <f>K157</f>
        <v>0</v>
      </c>
      <c r="O157" s="358"/>
    </row>
    <row r="158" spans="1:15" s="44" customFormat="1" ht="25.5" customHeight="1" x14ac:dyDescent="0.25">
      <c r="A158" s="256">
        <f>ROW()-10</f>
        <v>148</v>
      </c>
      <c r="B158" s="306" t="s">
        <v>110</v>
      </c>
      <c r="C158" s="307" t="s">
        <v>109</v>
      </c>
      <c r="D158" s="36"/>
      <c r="E158" s="308"/>
      <c r="F158" s="309"/>
      <c r="G158" s="310"/>
      <c r="H158" s="39"/>
      <c r="I158" s="37"/>
      <c r="J158" s="28"/>
      <c r="K158" s="28"/>
      <c r="L158" s="28"/>
      <c r="M158" s="40"/>
      <c r="O158" s="355"/>
    </row>
    <row r="159" spans="1:15" s="27" customFormat="1" ht="12.75" x14ac:dyDescent="0.25">
      <c r="A159" s="43">
        <f t="shared" ref="A159:A178" si="14">ROW()-10</f>
        <v>149</v>
      </c>
      <c r="B159" s="14" t="s">
        <v>110</v>
      </c>
      <c r="C159" s="55" t="s">
        <v>21</v>
      </c>
      <c r="D159" s="5" t="s">
        <v>22</v>
      </c>
      <c r="E159" s="6" t="s">
        <v>8</v>
      </c>
      <c r="F159" s="7">
        <v>1</v>
      </c>
      <c r="G159" s="18">
        <f>184.12</f>
        <v>184.12</v>
      </c>
      <c r="H159" s="2"/>
      <c r="I159" s="4"/>
      <c r="J159" s="21">
        <f>I159</f>
        <v>0</v>
      </c>
      <c r="K159" s="21"/>
      <c r="L159" s="21">
        <f>G159*I159</f>
        <v>0</v>
      </c>
      <c r="M159" s="22">
        <f>L159</f>
        <v>0</v>
      </c>
      <c r="O159" s="357"/>
    </row>
    <row r="160" spans="1:15" s="27" customFormat="1" ht="25.5" x14ac:dyDescent="0.25">
      <c r="A160" s="42">
        <f t="shared" si="14"/>
        <v>150</v>
      </c>
      <c r="B160" s="15"/>
      <c r="C160" s="326" t="s">
        <v>13</v>
      </c>
      <c r="D160" s="315" t="s">
        <v>25</v>
      </c>
      <c r="E160" s="316" t="s">
        <v>14</v>
      </c>
      <c r="F160" s="317">
        <v>0.1</v>
      </c>
      <c r="G160" s="9">
        <f>G159*F160</f>
        <v>18.41</v>
      </c>
      <c r="H160" s="3"/>
      <c r="I160" s="24"/>
      <c r="J160" s="25">
        <f>H160</f>
        <v>0</v>
      </c>
      <c r="K160" s="25">
        <f>G160*H160</f>
        <v>0</v>
      </c>
      <c r="L160" s="25"/>
      <c r="M160" s="26">
        <f>K160</f>
        <v>0</v>
      </c>
      <c r="O160" s="357"/>
    </row>
    <row r="161" spans="1:15" s="27" customFormat="1" ht="25.5" x14ac:dyDescent="0.25">
      <c r="A161" s="42">
        <f t="shared" si="14"/>
        <v>151</v>
      </c>
      <c r="B161" s="15"/>
      <c r="C161" s="326" t="s">
        <v>52</v>
      </c>
      <c r="D161" s="315" t="s">
        <v>25</v>
      </c>
      <c r="E161" s="316" t="s">
        <v>10</v>
      </c>
      <c r="F161" s="317">
        <v>1.2</v>
      </c>
      <c r="G161" s="9">
        <f>G159*F161</f>
        <v>220.94</v>
      </c>
      <c r="H161" s="3"/>
      <c r="I161" s="53"/>
      <c r="J161" s="25">
        <f>H161</f>
        <v>0</v>
      </c>
      <c r="K161" s="25">
        <f>G161*H161</f>
        <v>0</v>
      </c>
      <c r="L161" s="25"/>
      <c r="M161" s="26">
        <f>K161</f>
        <v>0</v>
      </c>
      <c r="O161" s="357"/>
    </row>
    <row r="162" spans="1:15" s="27" customFormat="1" ht="25.5" x14ac:dyDescent="0.25">
      <c r="A162" s="42">
        <f t="shared" si="14"/>
        <v>152</v>
      </c>
      <c r="B162" s="15"/>
      <c r="C162" s="314" t="s">
        <v>23</v>
      </c>
      <c r="D162" s="315" t="s">
        <v>25</v>
      </c>
      <c r="E162" s="316" t="s">
        <v>10</v>
      </c>
      <c r="F162" s="317">
        <v>1.7</v>
      </c>
      <c r="G162" s="9">
        <f>G159*F162</f>
        <v>313</v>
      </c>
      <c r="H162" s="3"/>
      <c r="I162" s="24"/>
      <c r="J162" s="25">
        <f>H162</f>
        <v>0</v>
      </c>
      <c r="K162" s="25">
        <f>G162*H162</f>
        <v>0</v>
      </c>
      <c r="L162" s="25"/>
      <c r="M162" s="26">
        <f>K162</f>
        <v>0</v>
      </c>
      <c r="O162" s="357"/>
    </row>
    <row r="163" spans="1:15" s="27" customFormat="1" ht="45" customHeight="1" x14ac:dyDescent="0.25">
      <c r="A163" s="43">
        <f t="shared" si="14"/>
        <v>153</v>
      </c>
      <c r="B163" s="14" t="s">
        <v>110</v>
      </c>
      <c r="C163" s="54" t="s">
        <v>18</v>
      </c>
      <c r="D163" s="5" t="s">
        <v>22</v>
      </c>
      <c r="E163" s="6" t="s">
        <v>8</v>
      </c>
      <c r="F163" s="7">
        <v>1</v>
      </c>
      <c r="G163" s="18">
        <f>20.95</f>
        <v>20.95</v>
      </c>
      <c r="H163" s="2"/>
      <c r="I163" s="4"/>
      <c r="J163" s="21">
        <f>I163</f>
        <v>0</v>
      </c>
      <c r="K163" s="21"/>
      <c r="L163" s="21">
        <f>G163*I163</f>
        <v>0</v>
      </c>
      <c r="M163" s="22">
        <f>L163</f>
        <v>0</v>
      </c>
      <c r="O163" s="357"/>
    </row>
    <row r="164" spans="1:15" s="68" customFormat="1" ht="25.5" x14ac:dyDescent="0.25">
      <c r="A164" s="42">
        <f t="shared" si="14"/>
        <v>154</v>
      </c>
      <c r="B164" s="15"/>
      <c r="C164" s="314" t="s">
        <v>58</v>
      </c>
      <c r="D164" s="315" t="s">
        <v>25</v>
      </c>
      <c r="E164" s="316" t="s">
        <v>8</v>
      </c>
      <c r="F164" s="317">
        <v>1.07</v>
      </c>
      <c r="G164" s="318">
        <f>G163*F164</f>
        <v>22.42</v>
      </c>
      <c r="H164" s="3"/>
      <c r="I164" s="24"/>
      <c r="J164" s="25">
        <f>H164</f>
        <v>0</v>
      </c>
      <c r="K164" s="25">
        <f>G164*H164</f>
        <v>0</v>
      </c>
      <c r="L164" s="25"/>
      <c r="M164" s="26">
        <f>K164</f>
        <v>0</v>
      </c>
      <c r="O164" s="356"/>
    </row>
    <row r="165" spans="1:15" s="68" customFormat="1" ht="25.5" x14ac:dyDescent="0.25">
      <c r="A165" s="42">
        <f t="shared" si="14"/>
        <v>155</v>
      </c>
      <c r="B165" s="15"/>
      <c r="C165" s="314" t="s">
        <v>9</v>
      </c>
      <c r="D165" s="315" t="s">
        <v>25</v>
      </c>
      <c r="E165" s="316" t="s">
        <v>10</v>
      </c>
      <c r="F165" s="317">
        <v>12</v>
      </c>
      <c r="G165" s="318">
        <f>G163*0.3*F165</f>
        <v>75.42</v>
      </c>
      <c r="H165" s="3"/>
      <c r="I165" s="24"/>
      <c r="J165" s="25">
        <f>H165</f>
        <v>0</v>
      </c>
      <c r="K165" s="25">
        <f>G165*H165</f>
        <v>0</v>
      </c>
      <c r="L165" s="25"/>
      <c r="M165" s="26">
        <f>K165</f>
        <v>0</v>
      </c>
      <c r="O165" s="356"/>
    </row>
    <row r="166" spans="1:15" s="68" customFormat="1" ht="25.5" x14ac:dyDescent="0.25">
      <c r="A166" s="42">
        <f t="shared" si="14"/>
        <v>156</v>
      </c>
      <c r="B166" s="15"/>
      <c r="C166" s="314" t="s">
        <v>11</v>
      </c>
      <c r="D166" s="315" t="s">
        <v>25</v>
      </c>
      <c r="E166" s="316" t="s">
        <v>10</v>
      </c>
      <c r="F166" s="317">
        <v>0.25</v>
      </c>
      <c r="G166" s="318">
        <f>G163*0.3*F166</f>
        <v>1.57</v>
      </c>
      <c r="H166" s="3"/>
      <c r="I166" s="24"/>
      <c r="J166" s="25">
        <f>H166</f>
        <v>0</v>
      </c>
      <c r="K166" s="25">
        <f>G166*H166</f>
        <v>0</v>
      </c>
      <c r="L166" s="25"/>
      <c r="M166" s="26">
        <f>K166</f>
        <v>0</v>
      </c>
      <c r="O166" s="356"/>
    </row>
    <row r="167" spans="1:15" s="68" customFormat="1" ht="25.5" x14ac:dyDescent="0.25">
      <c r="A167" s="42">
        <f t="shared" si="14"/>
        <v>157</v>
      </c>
      <c r="B167" s="15"/>
      <c r="C167" s="314" t="s">
        <v>46</v>
      </c>
      <c r="D167" s="315" t="s">
        <v>25</v>
      </c>
      <c r="E167" s="316" t="s">
        <v>12</v>
      </c>
      <c r="F167" s="317">
        <v>1.1000000000000001</v>
      </c>
      <c r="G167" s="318">
        <f>9.92*F167</f>
        <v>10.91</v>
      </c>
      <c r="H167" s="3"/>
      <c r="I167" s="24"/>
      <c r="J167" s="25">
        <f>H167</f>
        <v>0</v>
      </c>
      <c r="K167" s="25">
        <f>G167*H167</f>
        <v>0</v>
      </c>
      <c r="L167" s="25"/>
      <c r="M167" s="26">
        <f>K167</f>
        <v>0</v>
      </c>
      <c r="O167" s="356"/>
    </row>
    <row r="168" spans="1:15" s="27" customFormat="1" ht="12.75" x14ac:dyDescent="0.25">
      <c r="A168" s="43">
        <f t="shared" si="14"/>
        <v>158</v>
      </c>
      <c r="B168" s="14" t="s">
        <v>110</v>
      </c>
      <c r="C168" s="8" t="s">
        <v>19</v>
      </c>
      <c r="D168" s="5" t="s">
        <v>22</v>
      </c>
      <c r="E168" s="6" t="s">
        <v>8</v>
      </c>
      <c r="F168" s="7">
        <v>1</v>
      </c>
      <c r="G168" s="18">
        <f>G159</f>
        <v>184.12</v>
      </c>
      <c r="H168" s="2"/>
      <c r="I168" s="4"/>
      <c r="J168" s="21">
        <f>I168</f>
        <v>0</v>
      </c>
      <c r="K168" s="21"/>
      <c r="L168" s="21">
        <f>G168*I168</f>
        <v>0</v>
      </c>
      <c r="M168" s="22">
        <f>L168</f>
        <v>0</v>
      </c>
      <c r="O168" s="357"/>
    </row>
    <row r="169" spans="1:15" s="68" customFormat="1" ht="25.5" x14ac:dyDescent="0.25">
      <c r="A169" s="42">
        <f t="shared" si="14"/>
        <v>159</v>
      </c>
      <c r="B169" s="15"/>
      <c r="C169" s="314" t="s">
        <v>13</v>
      </c>
      <c r="D169" s="315" t="s">
        <v>25</v>
      </c>
      <c r="E169" s="316" t="s">
        <v>14</v>
      </c>
      <c r="F169" s="317">
        <v>0.1</v>
      </c>
      <c r="G169" s="318">
        <f>G168*F169</f>
        <v>18.41</v>
      </c>
      <c r="H169" s="3"/>
      <c r="I169" s="24"/>
      <c r="J169" s="25">
        <f>H169</f>
        <v>0</v>
      </c>
      <c r="K169" s="25">
        <f>G169*H169</f>
        <v>0</v>
      </c>
      <c r="L169" s="25"/>
      <c r="M169" s="26">
        <f>K169</f>
        <v>0</v>
      </c>
      <c r="O169" s="356"/>
    </row>
    <row r="170" spans="1:15" s="68" customFormat="1" ht="25.5" x14ac:dyDescent="0.25">
      <c r="A170" s="42">
        <f t="shared" si="14"/>
        <v>160</v>
      </c>
      <c r="B170" s="15"/>
      <c r="C170" s="314" t="s">
        <v>104</v>
      </c>
      <c r="D170" s="315" t="s">
        <v>25</v>
      </c>
      <c r="E170" s="316" t="s">
        <v>14</v>
      </c>
      <c r="F170" s="317">
        <v>0.3</v>
      </c>
      <c r="G170" s="318">
        <f>166.53*F170</f>
        <v>49.96</v>
      </c>
      <c r="H170" s="3"/>
      <c r="I170" s="24"/>
      <c r="J170" s="25">
        <f>H170</f>
        <v>0</v>
      </c>
      <c r="K170" s="25">
        <f>G170*H170</f>
        <v>0</v>
      </c>
      <c r="L170" s="25"/>
      <c r="M170" s="26">
        <f>K170</f>
        <v>0</v>
      </c>
      <c r="O170" s="356"/>
    </row>
    <row r="171" spans="1:15" s="68" customFormat="1" ht="25.5" x14ac:dyDescent="0.25">
      <c r="A171" s="42">
        <f t="shared" si="14"/>
        <v>161</v>
      </c>
      <c r="B171" s="15"/>
      <c r="C171" s="314" t="s">
        <v>105</v>
      </c>
      <c r="D171" s="315" t="s">
        <v>25</v>
      </c>
      <c r="E171" s="316" t="s">
        <v>14</v>
      </c>
      <c r="F171" s="317">
        <v>0.3</v>
      </c>
      <c r="G171" s="318">
        <f>13.1*F171</f>
        <v>3.93</v>
      </c>
      <c r="H171" s="3"/>
      <c r="I171" s="24"/>
      <c r="J171" s="25">
        <f>H171</f>
        <v>0</v>
      </c>
      <c r="K171" s="25">
        <f>G171*H171</f>
        <v>0</v>
      </c>
      <c r="L171" s="25"/>
      <c r="M171" s="26">
        <f>K171</f>
        <v>0</v>
      </c>
      <c r="O171" s="356"/>
    </row>
    <row r="172" spans="1:15" s="68" customFormat="1" ht="25.5" x14ac:dyDescent="0.25">
      <c r="A172" s="42">
        <f t="shared" si="14"/>
        <v>162</v>
      </c>
      <c r="B172" s="15"/>
      <c r="C172" s="314" t="s">
        <v>106</v>
      </c>
      <c r="D172" s="315" t="s">
        <v>25</v>
      </c>
      <c r="E172" s="316" t="s">
        <v>14</v>
      </c>
      <c r="F172" s="317">
        <v>0.3</v>
      </c>
      <c r="G172" s="318">
        <f>4.48*F172</f>
        <v>1.34</v>
      </c>
      <c r="H172" s="3"/>
      <c r="I172" s="24"/>
      <c r="J172" s="25">
        <f>H172</f>
        <v>0</v>
      </c>
      <c r="K172" s="25">
        <f>G172*H172</f>
        <v>0</v>
      </c>
      <c r="L172" s="25"/>
      <c r="M172" s="26">
        <f>K172</f>
        <v>0</v>
      </c>
      <c r="O172" s="356"/>
    </row>
    <row r="173" spans="1:15" s="27" customFormat="1" ht="21.75" customHeight="1" x14ac:dyDescent="0.25">
      <c r="A173" s="43">
        <f t="shared" si="14"/>
        <v>163</v>
      </c>
      <c r="B173" s="14" t="s">
        <v>110</v>
      </c>
      <c r="C173" s="8" t="s">
        <v>20</v>
      </c>
      <c r="D173" s="5" t="s">
        <v>22</v>
      </c>
      <c r="E173" s="6" t="s">
        <v>24</v>
      </c>
      <c r="F173" s="7">
        <v>1</v>
      </c>
      <c r="G173" s="18">
        <f>84.12</f>
        <v>84.12</v>
      </c>
      <c r="H173" s="2"/>
      <c r="I173" s="4"/>
      <c r="J173" s="21">
        <f>I173</f>
        <v>0</v>
      </c>
      <c r="K173" s="21"/>
      <c r="L173" s="21">
        <f>G173*I173</f>
        <v>0</v>
      </c>
      <c r="M173" s="22">
        <f>L173</f>
        <v>0</v>
      </c>
      <c r="O173" s="357"/>
    </row>
    <row r="174" spans="1:15" s="27" customFormat="1" ht="25.5" customHeight="1" x14ac:dyDescent="0.25">
      <c r="A174" s="42">
        <f t="shared" si="14"/>
        <v>164</v>
      </c>
      <c r="B174" s="15"/>
      <c r="C174" s="314" t="s">
        <v>32</v>
      </c>
      <c r="D174" s="315" t="s">
        <v>25</v>
      </c>
      <c r="E174" s="328" t="s">
        <v>10</v>
      </c>
      <c r="F174" s="329">
        <v>0.05</v>
      </c>
      <c r="G174" s="318">
        <f>G173*0.2*F174</f>
        <v>0.84</v>
      </c>
      <c r="H174" s="3"/>
      <c r="I174" s="24"/>
      <c r="J174" s="25">
        <f>H174</f>
        <v>0</v>
      </c>
      <c r="K174" s="25">
        <f>G174*H174</f>
        <v>0</v>
      </c>
      <c r="L174" s="25"/>
      <c r="M174" s="26">
        <f>K174</f>
        <v>0</v>
      </c>
      <c r="O174" s="357"/>
    </row>
    <row r="175" spans="1:15" s="27" customFormat="1" ht="25.5" x14ac:dyDescent="0.25">
      <c r="A175" s="42">
        <f t="shared" si="14"/>
        <v>165</v>
      </c>
      <c r="B175" s="15"/>
      <c r="C175" s="314" t="s">
        <v>33</v>
      </c>
      <c r="D175" s="315" t="s">
        <v>25</v>
      </c>
      <c r="E175" s="328" t="s">
        <v>10</v>
      </c>
      <c r="F175" s="329">
        <v>10</v>
      </c>
      <c r="G175" s="318">
        <f>G173*0.2*F175</f>
        <v>168.24</v>
      </c>
      <c r="H175" s="3"/>
      <c r="I175" s="24"/>
      <c r="J175" s="25">
        <f>H175</f>
        <v>0</v>
      </c>
      <c r="K175" s="25">
        <f>G175*H175</f>
        <v>0</v>
      </c>
      <c r="L175" s="25"/>
      <c r="M175" s="26">
        <f>K175</f>
        <v>0</v>
      </c>
      <c r="O175" s="357"/>
    </row>
    <row r="176" spans="1:15" s="27" customFormat="1" ht="25.5" x14ac:dyDescent="0.25">
      <c r="A176" s="42">
        <f t="shared" si="14"/>
        <v>166</v>
      </c>
      <c r="B176" s="15"/>
      <c r="C176" s="314" t="s">
        <v>13</v>
      </c>
      <c r="D176" s="315" t="s">
        <v>25</v>
      </c>
      <c r="E176" s="316" t="s">
        <v>14</v>
      </c>
      <c r="F176" s="317">
        <v>0.1</v>
      </c>
      <c r="G176" s="318">
        <f>G173*0.2*F176</f>
        <v>1.68</v>
      </c>
      <c r="H176" s="3"/>
      <c r="I176" s="24"/>
      <c r="J176" s="25">
        <f>H176</f>
        <v>0</v>
      </c>
      <c r="K176" s="25">
        <f>G176*H176</f>
        <v>0</v>
      </c>
      <c r="L176" s="25"/>
      <c r="M176" s="26">
        <f>K176</f>
        <v>0</v>
      </c>
      <c r="O176" s="357"/>
    </row>
    <row r="177" spans="1:15" s="27" customFormat="1" ht="25.5" x14ac:dyDescent="0.25">
      <c r="A177" s="42">
        <f t="shared" si="14"/>
        <v>167</v>
      </c>
      <c r="B177" s="15"/>
      <c r="C177" s="314" t="s">
        <v>23</v>
      </c>
      <c r="D177" s="330" t="s">
        <v>25</v>
      </c>
      <c r="E177" s="328" t="s">
        <v>10</v>
      </c>
      <c r="F177" s="329">
        <v>1.7</v>
      </c>
      <c r="G177" s="318">
        <f>G173*0.2*F177</f>
        <v>28.6</v>
      </c>
      <c r="H177" s="3"/>
      <c r="I177" s="24"/>
      <c r="J177" s="25">
        <f>H177</f>
        <v>0</v>
      </c>
      <c r="K177" s="25">
        <f>G177*H177</f>
        <v>0</v>
      </c>
      <c r="L177" s="25"/>
      <c r="M177" s="26">
        <f>K177</f>
        <v>0</v>
      </c>
      <c r="O177" s="357"/>
    </row>
    <row r="178" spans="1:15" s="68" customFormat="1" ht="25.5" x14ac:dyDescent="0.25">
      <c r="A178" s="42">
        <f t="shared" si="14"/>
        <v>168</v>
      </c>
      <c r="B178" s="15"/>
      <c r="C178" s="314" t="s">
        <v>104</v>
      </c>
      <c r="D178" s="315" t="s">
        <v>25</v>
      </c>
      <c r="E178" s="316" t="s">
        <v>14</v>
      </c>
      <c r="F178" s="317">
        <v>0.3</v>
      </c>
      <c r="G178" s="318">
        <f>84.12*0.2*F178</f>
        <v>5.05</v>
      </c>
      <c r="H178" s="3"/>
      <c r="I178" s="69"/>
      <c r="J178" s="25">
        <f>H178</f>
        <v>0</v>
      </c>
      <c r="K178" s="25">
        <f>G178*H178</f>
        <v>0</v>
      </c>
      <c r="L178" s="25"/>
      <c r="M178" s="26">
        <f>K178</f>
        <v>0</v>
      </c>
      <c r="O178" s="356"/>
    </row>
    <row r="179" spans="1:15" s="44" customFormat="1" ht="25.5" customHeight="1" x14ac:dyDescent="0.25">
      <c r="A179" s="305">
        <f>ROW()-10</f>
        <v>169</v>
      </c>
      <c r="B179" s="306" t="s">
        <v>113</v>
      </c>
      <c r="C179" s="307" t="s">
        <v>112</v>
      </c>
      <c r="D179" s="36"/>
      <c r="E179" s="308"/>
      <c r="F179" s="309"/>
      <c r="G179" s="310"/>
      <c r="H179" s="39"/>
      <c r="I179" s="37"/>
      <c r="J179" s="28"/>
      <c r="K179" s="28"/>
      <c r="L179" s="28"/>
      <c r="M179" s="40"/>
      <c r="O179" s="355"/>
    </row>
    <row r="180" spans="1:15" s="27" customFormat="1" ht="12.75" x14ac:dyDescent="0.25">
      <c r="A180" s="43">
        <f t="shared" ref="A180:A191" si="15">ROW()-10</f>
        <v>170</v>
      </c>
      <c r="B180" s="14" t="s">
        <v>113</v>
      </c>
      <c r="C180" s="8" t="s">
        <v>16</v>
      </c>
      <c r="D180" s="5" t="s">
        <v>22</v>
      </c>
      <c r="E180" s="6" t="s">
        <v>8</v>
      </c>
      <c r="F180" s="7">
        <v>1</v>
      </c>
      <c r="G180" s="18">
        <v>60.2</v>
      </c>
      <c r="H180" s="2"/>
      <c r="I180" s="4"/>
      <c r="J180" s="21">
        <f>I180</f>
        <v>0</v>
      </c>
      <c r="K180" s="21"/>
      <c r="L180" s="21">
        <f>G180*I180</f>
        <v>0</v>
      </c>
      <c r="M180" s="22">
        <f>L180</f>
        <v>0</v>
      </c>
      <c r="O180" s="357"/>
    </row>
    <row r="181" spans="1:15" s="27" customFormat="1" ht="25.5" x14ac:dyDescent="0.25">
      <c r="A181" s="41">
        <f t="shared" si="15"/>
        <v>171</v>
      </c>
      <c r="B181" s="38" t="s">
        <v>59</v>
      </c>
      <c r="C181" s="314" t="s">
        <v>58</v>
      </c>
      <c r="D181" s="315" t="s">
        <v>25</v>
      </c>
      <c r="E181" s="316" t="s">
        <v>8</v>
      </c>
      <c r="F181" s="317">
        <v>1.07</v>
      </c>
      <c r="G181" s="9">
        <f>G180*F181</f>
        <v>64.41</v>
      </c>
      <c r="H181" s="3"/>
      <c r="I181" s="24"/>
      <c r="J181" s="25">
        <f>H181</f>
        <v>0</v>
      </c>
      <c r="K181" s="25">
        <f>G181*H181</f>
        <v>0</v>
      </c>
      <c r="L181" s="25"/>
      <c r="M181" s="26">
        <f>K181</f>
        <v>0</v>
      </c>
      <c r="O181" s="357"/>
    </row>
    <row r="182" spans="1:15" s="27" customFormat="1" ht="25.5" x14ac:dyDescent="0.25">
      <c r="A182" s="42">
        <f t="shared" si="15"/>
        <v>172</v>
      </c>
      <c r="B182" s="15"/>
      <c r="C182" s="314" t="s">
        <v>9</v>
      </c>
      <c r="D182" s="315" t="s">
        <v>25</v>
      </c>
      <c r="E182" s="316" t="s">
        <v>10</v>
      </c>
      <c r="F182" s="317">
        <v>12</v>
      </c>
      <c r="G182" s="9">
        <f>G180*F182</f>
        <v>722.4</v>
      </c>
      <c r="H182" s="3"/>
      <c r="I182" s="24"/>
      <c r="J182" s="25">
        <f>H182</f>
        <v>0</v>
      </c>
      <c r="K182" s="25">
        <f>G182*H182</f>
        <v>0</v>
      </c>
      <c r="L182" s="25"/>
      <c r="M182" s="26">
        <f>K182</f>
        <v>0</v>
      </c>
      <c r="O182" s="357"/>
    </row>
    <row r="183" spans="1:15" s="27" customFormat="1" ht="25.5" x14ac:dyDescent="0.25">
      <c r="A183" s="42">
        <f t="shared" si="15"/>
        <v>173</v>
      </c>
      <c r="B183" s="15"/>
      <c r="C183" s="314" t="s">
        <v>11</v>
      </c>
      <c r="D183" s="315" t="s">
        <v>25</v>
      </c>
      <c r="E183" s="316" t="s">
        <v>10</v>
      </c>
      <c r="F183" s="317">
        <v>0.25</v>
      </c>
      <c r="G183" s="9">
        <f>G180*F183</f>
        <v>15.05</v>
      </c>
      <c r="H183" s="3"/>
      <c r="I183" s="24"/>
      <c r="J183" s="25">
        <f>H183</f>
        <v>0</v>
      </c>
      <c r="K183" s="25">
        <f>G183*H183</f>
        <v>0</v>
      </c>
      <c r="L183" s="25"/>
      <c r="M183" s="26">
        <f>K183</f>
        <v>0</v>
      </c>
      <c r="O183" s="357"/>
    </row>
    <row r="184" spans="1:15" s="27" customFormat="1" ht="12.75" x14ac:dyDescent="0.25">
      <c r="A184" s="43">
        <f t="shared" ref="A184:A194" si="16">ROW()-10</f>
        <v>174</v>
      </c>
      <c r="B184" s="14" t="s">
        <v>113</v>
      </c>
      <c r="C184" s="8" t="s">
        <v>62</v>
      </c>
      <c r="D184" s="5" t="s">
        <v>22</v>
      </c>
      <c r="E184" s="6" t="s">
        <v>8</v>
      </c>
      <c r="F184" s="7">
        <v>1</v>
      </c>
      <c r="G184" s="18">
        <v>5.8</v>
      </c>
      <c r="H184" s="2"/>
      <c r="I184" s="4"/>
      <c r="J184" s="21">
        <f>I184</f>
        <v>0</v>
      </c>
      <c r="K184" s="21"/>
      <c r="L184" s="21">
        <f>G184*I184</f>
        <v>0</v>
      </c>
      <c r="M184" s="22">
        <f>L184</f>
        <v>0</v>
      </c>
      <c r="O184" s="357"/>
    </row>
    <row r="185" spans="1:15" s="27" customFormat="1" ht="25.5" x14ac:dyDescent="0.25">
      <c r="A185" s="41">
        <f t="shared" si="16"/>
        <v>175</v>
      </c>
      <c r="B185" s="38" t="s">
        <v>64</v>
      </c>
      <c r="C185" s="314" t="s">
        <v>67</v>
      </c>
      <c r="D185" s="315" t="s">
        <v>25</v>
      </c>
      <c r="E185" s="316" t="s">
        <v>8</v>
      </c>
      <c r="F185" s="317">
        <v>1.07</v>
      </c>
      <c r="G185" s="9">
        <f>G184*F185</f>
        <v>6.21</v>
      </c>
      <c r="H185" s="3"/>
      <c r="I185" s="24"/>
      <c r="J185" s="25">
        <f>H185</f>
        <v>0</v>
      </c>
      <c r="K185" s="25">
        <f>G185*H185</f>
        <v>0</v>
      </c>
      <c r="L185" s="25"/>
      <c r="M185" s="26">
        <f>K185</f>
        <v>0</v>
      </c>
      <c r="O185" s="357"/>
    </row>
    <row r="186" spans="1:15" s="27" customFormat="1" ht="25.5" x14ac:dyDescent="0.25">
      <c r="A186" s="42">
        <f t="shared" si="16"/>
        <v>176</v>
      </c>
      <c r="B186" s="15"/>
      <c r="C186" s="314" t="s">
        <v>9</v>
      </c>
      <c r="D186" s="315" t="s">
        <v>25</v>
      </c>
      <c r="E186" s="316" t="s">
        <v>10</v>
      </c>
      <c r="F186" s="317">
        <v>12</v>
      </c>
      <c r="G186" s="9">
        <f>G184*F186</f>
        <v>69.599999999999994</v>
      </c>
      <c r="H186" s="3"/>
      <c r="I186" s="24"/>
      <c r="J186" s="25">
        <f>H186</f>
        <v>0</v>
      </c>
      <c r="K186" s="25">
        <f>G186*H186</f>
        <v>0</v>
      </c>
      <c r="L186" s="25"/>
      <c r="M186" s="26">
        <f>K186</f>
        <v>0</v>
      </c>
      <c r="O186" s="357"/>
    </row>
    <row r="187" spans="1:15" s="27" customFormat="1" ht="25.5" x14ac:dyDescent="0.25">
      <c r="A187" s="42">
        <f t="shared" si="16"/>
        <v>177</v>
      </c>
      <c r="B187" s="15"/>
      <c r="C187" s="314" t="s">
        <v>11</v>
      </c>
      <c r="D187" s="315" t="s">
        <v>25</v>
      </c>
      <c r="E187" s="316" t="s">
        <v>10</v>
      </c>
      <c r="F187" s="317">
        <v>0.25</v>
      </c>
      <c r="G187" s="9">
        <f>G184*F187</f>
        <v>1.45</v>
      </c>
      <c r="H187" s="3"/>
      <c r="I187" s="24"/>
      <c r="J187" s="25">
        <f>H187</f>
        <v>0</v>
      </c>
      <c r="K187" s="25">
        <f>G187*H187</f>
        <v>0</v>
      </c>
      <c r="L187" s="25"/>
      <c r="M187" s="26">
        <f>K187</f>
        <v>0</v>
      </c>
      <c r="O187" s="357"/>
    </row>
    <row r="188" spans="1:15" s="27" customFormat="1" ht="25.5" x14ac:dyDescent="0.25">
      <c r="A188" s="43">
        <f t="shared" si="15"/>
        <v>178</v>
      </c>
      <c r="B188" s="14" t="s">
        <v>113</v>
      </c>
      <c r="C188" s="8" t="s">
        <v>17</v>
      </c>
      <c r="D188" s="5" t="s">
        <v>22</v>
      </c>
      <c r="E188" s="6" t="s">
        <v>12</v>
      </c>
      <c r="F188" s="7">
        <v>1</v>
      </c>
      <c r="G188" s="18">
        <f>56.3+5.9</f>
        <v>62.2</v>
      </c>
      <c r="H188" s="2"/>
      <c r="I188" s="4"/>
      <c r="J188" s="21">
        <f>I188</f>
        <v>0</v>
      </c>
      <c r="K188" s="21"/>
      <c r="L188" s="21">
        <f>G188*I188</f>
        <v>0</v>
      </c>
      <c r="M188" s="22">
        <f>L188</f>
        <v>0</v>
      </c>
      <c r="O188" s="357"/>
    </row>
    <row r="189" spans="1:15" s="27" customFormat="1" ht="25.5" x14ac:dyDescent="0.25">
      <c r="A189" s="42">
        <f t="shared" si="15"/>
        <v>179</v>
      </c>
      <c r="B189" s="15" t="s">
        <v>65</v>
      </c>
      <c r="C189" s="314" t="s">
        <v>66</v>
      </c>
      <c r="D189" s="315" t="s">
        <v>25</v>
      </c>
      <c r="E189" s="316" t="s">
        <v>8</v>
      </c>
      <c r="F189" s="317">
        <v>1.07</v>
      </c>
      <c r="G189" s="9">
        <f>G188*0.1*F189</f>
        <v>6.66</v>
      </c>
      <c r="H189" s="3"/>
      <c r="I189" s="24"/>
      <c r="J189" s="25">
        <f>H189</f>
        <v>0</v>
      </c>
      <c r="K189" s="25">
        <f>G189*H189</f>
        <v>0</v>
      </c>
      <c r="L189" s="25"/>
      <c r="M189" s="26">
        <f>K189</f>
        <v>0</v>
      </c>
      <c r="O189" s="357"/>
    </row>
    <row r="190" spans="1:15" s="27" customFormat="1" ht="25.5" x14ac:dyDescent="0.25">
      <c r="A190" s="42">
        <f t="shared" si="15"/>
        <v>180</v>
      </c>
      <c r="B190" s="15"/>
      <c r="C190" s="314" t="s">
        <v>9</v>
      </c>
      <c r="D190" s="315" t="s">
        <v>25</v>
      </c>
      <c r="E190" s="316" t="s">
        <v>10</v>
      </c>
      <c r="F190" s="317">
        <v>12</v>
      </c>
      <c r="G190" s="9">
        <f>G188*0.1*F190</f>
        <v>74.64</v>
      </c>
      <c r="H190" s="3"/>
      <c r="I190" s="24"/>
      <c r="J190" s="25">
        <f>H190</f>
        <v>0</v>
      </c>
      <c r="K190" s="25">
        <f>G190*H190</f>
        <v>0</v>
      </c>
      <c r="L190" s="25"/>
      <c r="M190" s="26">
        <f>K190</f>
        <v>0</v>
      </c>
      <c r="O190" s="357"/>
    </row>
    <row r="191" spans="1:15" s="27" customFormat="1" ht="25.5" x14ac:dyDescent="0.25">
      <c r="A191" s="42">
        <f t="shared" si="15"/>
        <v>181</v>
      </c>
      <c r="B191" s="15"/>
      <c r="C191" s="314" t="s">
        <v>11</v>
      </c>
      <c r="D191" s="315" t="s">
        <v>25</v>
      </c>
      <c r="E191" s="316" t="s">
        <v>10</v>
      </c>
      <c r="F191" s="317">
        <v>0.25</v>
      </c>
      <c r="G191" s="9">
        <f>G188*0.1*F191</f>
        <v>1.56</v>
      </c>
      <c r="H191" s="3"/>
      <c r="I191" s="24"/>
      <c r="J191" s="25">
        <f>H191</f>
        <v>0</v>
      </c>
      <c r="K191" s="25">
        <f>G191*H191</f>
        <v>0</v>
      </c>
      <c r="L191" s="25"/>
      <c r="M191" s="26">
        <f>K191</f>
        <v>0</v>
      </c>
      <c r="O191" s="357"/>
    </row>
    <row r="192" spans="1:15" s="27" customFormat="1" ht="12.75" x14ac:dyDescent="0.25">
      <c r="A192" s="43">
        <f t="shared" si="16"/>
        <v>182</v>
      </c>
      <c r="B192" s="14" t="s">
        <v>113</v>
      </c>
      <c r="C192" s="8" t="s">
        <v>76</v>
      </c>
      <c r="D192" s="5" t="s">
        <v>22</v>
      </c>
      <c r="E192" s="6" t="s">
        <v>12</v>
      </c>
      <c r="F192" s="7">
        <v>1</v>
      </c>
      <c r="G192" s="18">
        <v>3.5</v>
      </c>
      <c r="H192" s="2"/>
      <c r="I192" s="4"/>
      <c r="J192" s="21">
        <f>I192</f>
        <v>0</v>
      </c>
      <c r="K192" s="21"/>
      <c r="L192" s="21">
        <f>G192*I192</f>
        <v>0</v>
      </c>
      <c r="M192" s="22">
        <f>L192</f>
        <v>0</v>
      </c>
      <c r="O192" s="357"/>
    </row>
    <row r="193" spans="1:16" s="27" customFormat="1" ht="25.5" x14ac:dyDescent="0.25">
      <c r="A193" s="42">
        <f t="shared" si="16"/>
        <v>183</v>
      </c>
      <c r="B193" s="15"/>
      <c r="C193" s="314" t="s">
        <v>130</v>
      </c>
      <c r="D193" s="315" t="s">
        <v>25</v>
      </c>
      <c r="E193" s="316" t="s">
        <v>14</v>
      </c>
      <c r="F193" s="317">
        <v>0.3</v>
      </c>
      <c r="G193" s="9">
        <f>G192*0.1*F193</f>
        <v>0.11</v>
      </c>
      <c r="H193" s="3"/>
      <c r="I193" s="24"/>
      <c r="J193" s="25">
        <f>H193</f>
        <v>0</v>
      </c>
      <c r="K193" s="25">
        <f>G193*H193</f>
        <v>0</v>
      </c>
      <c r="L193" s="25"/>
      <c r="M193" s="26">
        <f>K193</f>
        <v>0</v>
      </c>
      <c r="O193" s="357"/>
    </row>
    <row r="194" spans="1:16" s="27" customFormat="1" ht="26.25" thickBot="1" x14ac:dyDescent="0.3">
      <c r="A194" s="42">
        <f t="shared" si="16"/>
        <v>184</v>
      </c>
      <c r="B194" s="15"/>
      <c r="C194" s="314" t="s">
        <v>13</v>
      </c>
      <c r="D194" s="315" t="s">
        <v>25</v>
      </c>
      <c r="E194" s="316" t="s">
        <v>14</v>
      </c>
      <c r="F194" s="317">
        <v>0.1</v>
      </c>
      <c r="G194" s="9">
        <f>G192*0.1*F194</f>
        <v>0.04</v>
      </c>
      <c r="H194" s="3"/>
      <c r="I194" s="24"/>
      <c r="J194" s="25">
        <f>H194</f>
        <v>0</v>
      </c>
      <c r="K194" s="25">
        <f>G194*H194</f>
        <v>0</v>
      </c>
      <c r="L194" s="25"/>
      <c r="M194" s="26">
        <f>K194</f>
        <v>0</v>
      </c>
      <c r="O194" s="357"/>
    </row>
    <row r="195" spans="1:16" s="29" customFormat="1" ht="14.25" x14ac:dyDescent="0.25">
      <c r="A195" s="56"/>
      <c r="B195" s="57"/>
      <c r="C195" s="58" t="s">
        <v>135</v>
      </c>
      <c r="D195" s="59"/>
      <c r="E195" s="59"/>
      <c r="F195" s="59"/>
      <c r="G195" s="59"/>
      <c r="H195" s="59"/>
      <c r="I195" s="59"/>
      <c r="J195" s="59"/>
      <c r="K195" s="59">
        <f>SUM(K11:K194)</f>
        <v>0</v>
      </c>
      <c r="L195" s="59">
        <f>SUM(L11:L194)</f>
        <v>0</v>
      </c>
      <c r="M195" s="60">
        <f>SUM(M11:M194)</f>
        <v>0</v>
      </c>
      <c r="N195" s="67"/>
      <c r="O195" s="359"/>
      <c r="P195" s="67"/>
    </row>
    <row r="196" spans="1:16" ht="15.75" thickBot="1" x14ac:dyDescent="0.3">
      <c r="A196" s="61"/>
      <c r="B196" s="62"/>
      <c r="C196" s="63" t="s">
        <v>136</v>
      </c>
      <c r="D196" s="64"/>
      <c r="E196" s="65"/>
      <c r="F196" s="65"/>
      <c r="G196" s="65"/>
      <c r="H196" s="65"/>
      <c r="I196" s="65"/>
      <c r="J196" s="66"/>
      <c r="K196" s="65"/>
      <c r="L196" s="65"/>
      <c r="M196" s="72">
        <f>M195*0.22/1.22</f>
        <v>0</v>
      </c>
      <c r="O196" s="360"/>
    </row>
    <row r="197" spans="1:16" x14ac:dyDescent="0.25">
      <c r="A197" s="333" t="s">
        <v>142</v>
      </c>
      <c r="B197" s="334"/>
      <c r="C197" s="334"/>
      <c r="D197" s="334"/>
      <c r="E197" s="334"/>
      <c r="F197" s="334"/>
      <c r="G197" s="335"/>
      <c r="H197" s="336"/>
      <c r="I197" s="336"/>
      <c r="J197" s="337"/>
      <c r="K197" s="337"/>
      <c r="L197" s="337"/>
      <c r="M197" s="338"/>
      <c r="O197" s="360"/>
    </row>
    <row r="198" spans="1:16" x14ac:dyDescent="0.2">
      <c r="A198" s="362">
        <v>1</v>
      </c>
      <c r="B198" s="363"/>
      <c r="C198" s="364" t="s">
        <v>143</v>
      </c>
      <c r="D198" s="365"/>
      <c r="E198" s="366"/>
      <c r="F198" s="366"/>
      <c r="G198" s="367"/>
      <c r="H198" s="368"/>
      <c r="I198" s="369"/>
      <c r="J198" s="370"/>
      <c r="K198" s="370"/>
      <c r="L198" s="370"/>
      <c r="M198" s="371"/>
      <c r="O198" s="360"/>
    </row>
    <row r="199" spans="1:16" x14ac:dyDescent="0.2">
      <c r="A199" s="372">
        <v>2</v>
      </c>
      <c r="B199" s="373"/>
      <c r="C199" s="374" t="s">
        <v>144</v>
      </c>
      <c r="D199" s="375"/>
      <c r="E199" s="376"/>
      <c r="F199" s="376"/>
      <c r="G199" s="377"/>
      <c r="H199" s="368"/>
      <c r="I199" s="369"/>
      <c r="J199" s="370"/>
      <c r="K199" s="370"/>
      <c r="L199" s="370"/>
      <c r="M199" s="371"/>
      <c r="O199" s="360"/>
    </row>
    <row r="200" spans="1:16" x14ac:dyDescent="0.2">
      <c r="A200" s="372">
        <v>3</v>
      </c>
      <c r="B200" s="363"/>
      <c r="C200" s="374" t="s">
        <v>145</v>
      </c>
      <c r="D200" s="375"/>
      <c r="E200" s="376"/>
      <c r="F200" s="376"/>
      <c r="G200" s="377"/>
      <c r="H200" s="368"/>
      <c r="I200" s="369"/>
      <c r="J200" s="370"/>
      <c r="K200" s="370"/>
      <c r="L200" s="370"/>
      <c r="M200" s="371"/>
      <c r="O200" s="360"/>
    </row>
    <row r="201" spans="1:16" ht="25.5" x14ac:dyDescent="0.2">
      <c r="A201" s="372">
        <v>4</v>
      </c>
      <c r="B201" s="373"/>
      <c r="C201" s="374" t="s">
        <v>146</v>
      </c>
      <c r="D201" s="375"/>
      <c r="E201" s="376"/>
      <c r="F201" s="376"/>
      <c r="G201" s="377"/>
      <c r="H201" s="368"/>
      <c r="I201" s="369"/>
      <c r="J201" s="370"/>
      <c r="K201" s="370"/>
      <c r="L201" s="370"/>
      <c r="M201" s="371"/>
      <c r="O201" s="360"/>
    </row>
    <row r="202" spans="1:16" ht="25.5" x14ac:dyDescent="0.2">
      <c r="A202" s="372">
        <v>5</v>
      </c>
      <c r="B202" s="363"/>
      <c r="C202" s="374" t="s">
        <v>147</v>
      </c>
      <c r="D202" s="375"/>
      <c r="E202" s="376"/>
      <c r="F202" s="376"/>
      <c r="G202" s="377"/>
      <c r="H202" s="368"/>
      <c r="I202" s="369"/>
      <c r="J202" s="370"/>
      <c r="K202" s="370"/>
      <c r="L202" s="370"/>
      <c r="M202" s="371"/>
      <c r="O202" s="360"/>
    </row>
    <row r="203" spans="1:16" x14ac:dyDescent="0.2">
      <c r="A203" s="372">
        <v>6</v>
      </c>
      <c r="B203" s="373"/>
      <c r="C203" s="374" t="s">
        <v>148</v>
      </c>
      <c r="D203" s="375"/>
      <c r="E203" s="376"/>
      <c r="F203" s="376"/>
      <c r="G203" s="377"/>
      <c r="H203" s="368"/>
      <c r="I203" s="369"/>
      <c r="J203" s="370"/>
      <c r="K203" s="370"/>
      <c r="L203" s="370"/>
      <c r="M203" s="371"/>
      <c r="O203" s="360"/>
    </row>
    <row r="204" spans="1:16" x14ac:dyDescent="0.2">
      <c r="A204" s="372">
        <v>7</v>
      </c>
      <c r="B204" s="363"/>
      <c r="C204" s="374" t="s">
        <v>149</v>
      </c>
      <c r="D204" s="375"/>
      <c r="E204" s="376"/>
      <c r="F204" s="376"/>
      <c r="G204" s="377"/>
      <c r="H204" s="368"/>
      <c r="I204" s="369"/>
      <c r="J204" s="370"/>
      <c r="K204" s="370"/>
      <c r="L204" s="370"/>
      <c r="M204" s="371"/>
      <c r="O204" s="360"/>
    </row>
    <row r="205" spans="1:16" x14ac:dyDescent="0.2">
      <c r="A205" s="372">
        <v>8</v>
      </c>
      <c r="B205" s="373"/>
      <c r="C205" s="374" t="s">
        <v>150</v>
      </c>
      <c r="D205" s="375"/>
      <c r="E205" s="376"/>
      <c r="F205" s="376"/>
      <c r="G205" s="377"/>
      <c r="H205" s="368"/>
      <c r="I205" s="369"/>
      <c r="J205" s="370"/>
      <c r="K205" s="370"/>
      <c r="L205" s="370"/>
      <c r="M205" s="371"/>
      <c r="O205" s="360"/>
    </row>
    <row r="206" spans="1:16" x14ac:dyDescent="0.2">
      <c r="A206" s="372">
        <v>9</v>
      </c>
      <c r="B206" s="363"/>
      <c r="C206" s="374" t="s">
        <v>151</v>
      </c>
      <c r="D206" s="375"/>
      <c r="E206" s="376"/>
      <c r="F206" s="376"/>
      <c r="G206" s="377"/>
      <c r="H206" s="368"/>
      <c r="I206" s="369"/>
      <c r="J206" s="370"/>
      <c r="K206" s="370"/>
      <c r="L206" s="370"/>
      <c r="M206" s="371"/>
      <c r="O206" s="360"/>
    </row>
    <row r="207" spans="1:16" ht="25.5" x14ac:dyDescent="0.2">
      <c r="A207" s="372">
        <v>10</v>
      </c>
      <c r="B207" s="373"/>
      <c r="C207" s="378" t="s">
        <v>152</v>
      </c>
      <c r="D207" s="379"/>
      <c r="E207" s="376"/>
      <c r="F207" s="376"/>
      <c r="G207" s="377"/>
      <c r="H207" s="368"/>
      <c r="I207" s="369"/>
      <c r="J207" s="370"/>
      <c r="K207" s="370"/>
      <c r="L207" s="370"/>
      <c r="M207" s="371"/>
      <c r="O207" s="360"/>
    </row>
    <row r="208" spans="1:16" ht="15.75" thickBot="1" x14ac:dyDescent="0.25">
      <c r="A208" s="380">
        <v>11</v>
      </c>
      <c r="B208" s="381"/>
      <c r="C208" s="382" t="s">
        <v>153</v>
      </c>
      <c r="D208" s="383"/>
      <c r="E208" s="384"/>
      <c r="F208" s="384"/>
      <c r="G208" s="385"/>
      <c r="H208" s="386"/>
      <c r="I208" s="387"/>
      <c r="J208" s="388"/>
      <c r="K208" s="388"/>
      <c r="L208" s="388"/>
      <c r="M208" s="389"/>
      <c r="O208" s="361"/>
    </row>
    <row r="209" spans="1:13" x14ac:dyDescent="0.25">
      <c r="A209" s="339"/>
      <c r="B209" s="340"/>
      <c r="C209" s="341"/>
      <c r="D209" s="339"/>
      <c r="E209" s="340"/>
      <c r="F209" s="340"/>
      <c r="H209" s="340"/>
      <c r="I209" s="340"/>
      <c r="J209" s="342"/>
      <c r="K209" s="340"/>
      <c r="L209" s="340"/>
      <c r="M209" s="340"/>
    </row>
    <row r="210" spans="1:13" ht="81.75" customHeight="1" x14ac:dyDescent="0.25">
      <c r="A210" s="343" t="s">
        <v>156</v>
      </c>
      <c r="B210" s="344"/>
      <c r="C210" s="344"/>
      <c r="D210" s="344"/>
      <c r="E210" s="344"/>
      <c r="F210" s="344"/>
      <c r="G210" s="344"/>
      <c r="H210" s="344"/>
      <c r="I210" s="344"/>
      <c r="J210" s="344"/>
      <c r="K210" s="344"/>
      <c r="L210" s="344"/>
      <c r="M210" s="344"/>
    </row>
    <row r="211" spans="1:13" ht="62.25" customHeight="1" x14ac:dyDescent="0.2">
      <c r="A211" s="263"/>
      <c r="B211" s="263"/>
      <c r="C211" s="264" t="s">
        <v>154</v>
      </c>
      <c r="D211" s="264"/>
      <c r="E211" s="264"/>
      <c r="F211" s="264"/>
      <c r="G211" s="264"/>
      <c r="H211" s="264"/>
      <c r="I211" s="345"/>
      <c r="J211" s="345"/>
      <c r="K211" s="346"/>
      <c r="L211" s="345"/>
      <c r="M211" s="347"/>
    </row>
  </sheetData>
  <sheetProtection algorithmName="SHA-512" hashValue="HbS/St1Cjz6bPSmdczQpVjJ66a1CzHywj7IgrptIVmp9v592Uc90hbM3uCCSf1P8wo3xebUYLeAMy3pKafjCEQ==" saltValue="fH7/EGmkgeNlAbneIINgKA==" spinCount="100000" sheet="1" autoFilter="0"/>
  <autoFilter ref="A10:M208" xr:uid="{00000000-0001-0000-0000-000000000000}"/>
  <mergeCells count="16">
    <mergeCell ref="A210:M210"/>
    <mergeCell ref="O8:O10"/>
    <mergeCell ref="H8:I8"/>
    <mergeCell ref="J8:J9"/>
    <mergeCell ref="K8:L8"/>
    <mergeCell ref="M8:M9"/>
    <mergeCell ref="A4:M4"/>
    <mergeCell ref="A5:M5"/>
    <mergeCell ref="A6:M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scale="2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CC230-A137-4FBE-8F82-1F5C59989BC8}">
  <dimension ref="A1:P211"/>
  <sheetViews>
    <sheetView view="pageBreakPreview" zoomScale="90" zoomScaleNormal="85" zoomScaleSheetLayoutView="90" workbookViewId="0">
      <selection activeCell="L14" sqref="L14"/>
    </sheetView>
  </sheetViews>
  <sheetFormatPr defaultColWidth="9.140625" defaultRowHeight="15" x14ac:dyDescent="0.25"/>
  <cols>
    <col min="1" max="1" width="9.5703125" style="17" customWidth="1"/>
    <col min="2" max="2" width="16.42578125" style="16" customWidth="1"/>
    <col min="3" max="3" width="42.85546875" style="11" customWidth="1"/>
    <col min="4" max="4" width="17" style="10" customWidth="1"/>
    <col min="5" max="5" width="9.7109375" style="1" customWidth="1"/>
    <col min="6" max="6" width="9.5703125" style="1" customWidth="1"/>
    <col min="7" max="7" width="10.7109375" style="1" customWidth="1"/>
    <col min="8" max="9" width="13.7109375" style="1" customWidth="1"/>
    <col min="10" max="10" width="14.7109375" style="12" customWidth="1"/>
    <col min="11" max="11" width="13.28515625" style="1" customWidth="1"/>
    <col min="12" max="12" width="14.7109375" style="1" customWidth="1"/>
    <col min="13" max="13" width="17.28515625" style="1" customWidth="1"/>
    <col min="14" max="14" width="2.7109375" style="19" customWidth="1"/>
    <col min="15" max="15" width="62.140625" style="350" customWidth="1"/>
    <col min="16" max="16" width="2.7109375" style="19" customWidth="1"/>
    <col min="17" max="16384" width="9.140625" style="19"/>
  </cols>
  <sheetData>
    <row r="1" spans="1:15" s="265" customFormat="1" ht="15.75" x14ac:dyDescent="0.2">
      <c r="A1" s="263"/>
      <c r="B1" s="263"/>
      <c r="C1" s="264"/>
      <c r="D1" s="264"/>
      <c r="E1" s="264"/>
      <c r="F1" s="264"/>
      <c r="G1" s="264"/>
      <c r="H1" s="264"/>
      <c r="J1" s="266"/>
      <c r="K1" s="267"/>
      <c r="L1" s="267"/>
      <c r="M1" s="268" t="s">
        <v>55</v>
      </c>
      <c r="O1" s="348"/>
    </row>
    <row r="2" spans="1:15" s="265" customFormat="1" ht="15.75" customHeight="1" x14ac:dyDescent="0.2">
      <c r="A2" s="263"/>
      <c r="B2" s="263"/>
      <c r="C2" s="264"/>
      <c r="D2" s="264"/>
      <c r="E2" s="264"/>
      <c r="F2" s="264"/>
      <c r="G2" s="264"/>
      <c r="H2" s="264"/>
      <c r="J2" s="266"/>
      <c r="K2" s="267"/>
      <c r="L2" s="267"/>
      <c r="M2" s="268" t="s">
        <v>56</v>
      </c>
      <c r="O2" s="348"/>
    </row>
    <row r="3" spans="1:15" s="265" customFormat="1" ht="15.75" customHeight="1" x14ac:dyDescent="0.2">
      <c r="A3" s="263"/>
      <c r="B3" s="263"/>
      <c r="C3" s="264"/>
      <c r="D3" s="264"/>
      <c r="E3" s="264"/>
      <c r="F3" s="264"/>
      <c r="G3" s="264"/>
      <c r="H3" s="264"/>
      <c r="J3" s="266"/>
      <c r="K3" s="267"/>
      <c r="L3" s="267"/>
      <c r="M3" s="268"/>
      <c r="O3" s="348"/>
    </row>
    <row r="4" spans="1:15" s="271" customFormat="1" ht="20.25" x14ac:dyDescent="0.25">
      <c r="A4" s="269" t="s">
        <v>57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70"/>
      <c r="O4" s="349"/>
    </row>
    <row r="5" spans="1:15" ht="18.75" customHeight="1" x14ac:dyDescent="0.25">
      <c r="A5" s="74" t="s">
        <v>54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1:15" ht="15.75" x14ac:dyDescent="0.25">
      <c r="A6" s="75" t="s">
        <v>79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</row>
    <row r="7" spans="1:15" ht="16.5" thickBot="1" x14ac:dyDescent="0.3">
      <c r="A7" s="13"/>
      <c r="B7" s="1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</row>
    <row r="8" spans="1:15" ht="15" customHeight="1" x14ac:dyDescent="0.25">
      <c r="A8" s="272" t="s">
        <v>137</v>
      </c>
      <c r="B8" s="273" t="s">
        <v>0</v>
      </c>
      <c r="C8" s="274" t="s">
        <v>4</v>
      </c>
      <c r="D8" s="274" t="s">
        <v>1</v>
      </c>
      <c r="E8" s="274" t="s">
        <v>5</v>
      </c>
      <c r="F8" s="275" t="s">
        <v>6</v>
      </c>
      <c r="G8" s="276" t="s">
        <v>3</v>
      </c>
      <c r="H8" s="277" t="s">
        <v>138</v>
      </c>
      <c r="I8" s="278"/>
      <c r="J8" s="278" t="s">
        <v>139</v>
      </c>
      <c r="K8" s="278" t="s">
        <v>140</v>
      </c>
      <c r="L8" s="278"/>
      <c r="M8" s="279" t="s">
        <v>141</v>
      </c>
      <c r="O8" s="351" t="s">
        <v>155</v>
      </c>
    </row>
    <row r="9" spans="1:15" ht="36.75" customHeight="1" thickBot="1" x14ac:dyDescent="0.3">
      <c r="A9" s="280"/>
      <c r="B9" s="281"/>
      <c r="C9" s="282"/>
      <c r="D9" s="282"/>
      <c r="E9" s="282"/>
      <c r="F9" s="283"/>
      <c r="G9" s="284"/>
      <c r="H9" s="285" t="s">
        <v>2</v>
      </c>
      <c r="I9" s="286" t="s">
        <v>7</v>
      </c>
      <c r="J9" s="287"/>
      <c r="K9" s="286" t="s">
        <v>2</v>
      </c>
      <c r="L9" s="286" t="s">
        <v>7</v>
      </c>
      <c r="M9" s="288"/>
      <c r="O9" s="352"/>
    </row>
    <row r="10" spans="1:15" s="20" customFormat="1" ht="12.75" x14ac:dyDescent="0.25">
      <c r="A10" s="31">
        <v>1</v>
      </c>
      <c r="B10" s="32">
        <v>2</v>
      </c>
      <c r="C10" s="32">
        <v>3</v>
      </c>
      <c r="D10" s="32">
        <v>4</v>
      </c>
      <c r="E10" s="32">
        <v>5</v>
      </c>
      <c r="F10" s="33">
        <v>6</v>
      </c>
      <c r="G10" s="35">
        <v>9</v>
      </c>
      <c r="H10" s="34" t="s">
        <v>26</v>
      </c>
      <c r="I10" s="35" t="s">
        <v>27</v>
      </c>
      <c r="J10" s="34" t="s">
        <v>28</v>
      </c>
      <c r="K10" s="35" t="s">
        <v>29</v>
      </c>
      <c r="L10" s="34" t="s">
        <v>30</v>
      </c>
      <c r="M10" s="35" t="s">
        <v>31</v>
      </c>
      <c r="O10" s="352"/>
    </row>
    <row r="11" spans="1:15" s="23" customFormat="1" ht="12.75" x14ac:dyDescent="0.25">
      <c r="A11" s="289">
        <f>ROW()-10</f>
        <v>1</v>
      </c>
      <c r="B11" s="290" t="s">
        <v>84</v>
      </c>
      <c r="C11" s="291" t="s">
        <v>85</v>
      </c>
      <c r="D11" s="45"/>
      <c r="E11" s="292"/>
      <c r="F11" s="293"/>
      <c r="G11" s="294"/>
      <c r="H11" s="295"/>
      <c r="I11" s="296"/>
      <c r="J11" s="46"/>
      <c r="K11" s="46"/>
      <c r="L11" s="46"/>
      <c r="M11" s="47"/>
      <c r="O11" s="354"/>
    </row>
    <row r="12" spans="1:15" s="23" customFormat="1" ht="12.75" x14ac:dyDescent="0.25">
      <c r="A12" s="297">
        <f>ROW()-10</f>
        <v>2</v>
      </c>
      <c r="B12" s="298" t="s">
        <v>84</v>
      </c>
      <c r="C12" s="299" t="s">
        <v>86</v>
      </c>
      <c r="D12" s="48"/>
      <c r="E12" s="300"/>
      <c r="F12" s="301"/>
      <c r="G12" s="302"/>
      <c r="H12" s="303"/>
      <c r="I12" s="304"/>
      <c r="J12" s="51"/>
      <c r="K12" s="51"/>
      <c r="L12" s="51"/>
      <c r="M12" s="52"/>
      <c r="O12" s="354"/>
    </row>
    <row r="13" spans="1:15" s="44" customFormat="1" ht="25.5" customHeight="1" x14ac:dyDescent="0.25">
      <c r="A13" s="305">
        <f>ROW()-10</f>
        <v>3</v>
      </c>
      <c r="B13" s="306" t="s">
        <v>87</v>
      </c>
      <c r="C13" s="307" t="s">
        <v>88</v>
      </c>
      <c r="D13" s="36"/>
      <c r="E13" s="308"/>
      <c r="F13" s="309"/>
      <c r="G13" s="310"/>
      <c r="H13" s="311"/>
      <c r="I13" s="312"/>
      <c r="J13" s="28"/>
      <c r="K13" s="28"/>
      <c r="L13" s="28"/>
      <c r="M13" s="40"/>
      <c r="O13" s="355"/>
    </row>
    <row r="14" spans="1:15" s="23" customFormat="1" ht="25.5" x14ac:dyDescent="0.25">
      <c r="A14" s="43">
        <f t="shared" ref="A14:A39" si="0">ROW()-10</f>
        <v>4</v>
      </c>
      <c r="B14" s="14" t="s">
        <v>89</v>
      </c>
      <c r="C14" s="55" t="s">
        <v>90</v>
      </c>
      <c r="D14" s="5" t="s">
        <v>22</v>
      </c>
      <c r="E14" s="6" t="s">
        <v>8</v>
      </c>
      <c r="F14" s="7">
        <v>1</v>
      </c>
      <c r="G14" s="313">
        <f>19.7+28.94+4.65+10.1+16.96</f>
        <v>80.349999999999994</v>
      </c>
      <c r="H14" s="2"/>
      <c r="I14" s="4"/>
      <c r="J14" s="21">
        <f>I14</f>
        <v>0</v>
      </c>
      <c r="K14" s="21"/>
      <c r="L14" s="21">
        <f>G14*I14</f>
        <v>0</v>
      </c>
      <c r="M14" s="22">
        <f>L14</f>
        <v>0</v>
      </c>
      <c r="O14" s="354"/>
    </row>
    <row r="15" spans="1:15" s="68" customFormat="1" ht="25.5" x14ac:dyDescent="0.25">
      <c r="A15" s="42">
        <f t="shared" si="0"/>
        <v>5</v>
      </c>
      <c r="B15" s="15"/>
      <c r="C15" s="314" t="s">
        <v>91</v>
      </c>
      <c r="D15" s="315" t="s">
        <v>25</v>
      </c>
      <c r="E15" s="316" t="s">
        <v>8</v>
      </c>
      <c r="F15" s="317">
        <v>1.05</v>
      </c>
      <c r="G15" s="318">
        <f>(19.7+28.94)*F15*2</f>
        <v>102.14</v>
      </c>
      <c r="H15" s="3"/>
      <c r="I15" s="24"/>
      <c r="J15" s="25">
        <f t="shared" ref="J15:J27" si="1">H15</f>
        <v>0</v>
      </c>
      <c r="K15" s="25">
        <f t="shared" ref="K15:K27" si="2">G15*H15</f>
        <v>0</v>
      </c>
      <c r="L15" s="25"/>
      <c r="M15" s="26">
        <f t="shared" ref="M15:M27" si="3">K15</f>
        <v>0</v>
      </c>
      <c r="O15" s="356"/>
    </row>
    <row r="16" spans="1:15" s="68" customFormat="1" ht="25.5" x14ac:dyDescent="0.25">
      <c r="A16" s="42">
        <f t="shared" si="0"/>
        <v>6</v>
      </c>
      <c r="B16" s="15" t="s">
        <v>93</v>
      </c>
      <c r="C16" s="314" t="s">
        <v>92</v>
      </c>
      <c r="D16" s="315" t="s">
        <v>25</v>
      </c>
      <c r="E16" s="316" t="s">
        <v>8</v>
      </c>
      <c r="F16" s="317">
        <v>1.05</v>
      </c>
      <c r="G16" s="318">
        <f>4.65*F16*2</f>
        <v>9.77</v>
      </c>
      <c r="H16" s="3"/>
      <c r="I16" s="24"/>
      <c r="J16" s="25">
        <f t="shared" si="1"/>
        <v>0</v>
      </c>
      <c r="K16" s="25">
        <f t="shared" si="2"/>
        <v>0</v>
      </c>
      <c r="L16" s="25"/>
      <c r="M16" s="26">
        <f t="shared" si="3"/>
        <v>0</v>
      </c>
      <c r="O16" s="356"/>
    </row>
    <row r="17" spans="1:15" s="68" customFormat="1" ht="25.5" x14ac:dyDescent="0.25">
      <c r="A17" s="42">
        <f t="shared" si="0"/>
        <v>7</v>
      </c>
      <c r="B17" s="15" t="s">
        <v>94</v>
      </c>
      <c r="C17" s="314" t="s">
        <v>95</v>
      </c>
      <c r="D17" s="315" t="s">
        <v>25</v>
      </c>
      <c r="E17" s="316" t="s">
        <v>8</v>
      </c>
      <c r="F17" s="317">
        <v>1.05</v>
      </c>
      <c r="G17" s="318">
        <f>(10.1+16.96)*F17*2</f>
        <v>56.83</v>
      </c>
      <c r="H17" s="3"/>
      <c r="I17" s="24"/>
      <c r="J17" s="25">
        <f t="shared" si="1"/>
        <v>0</v>
      </c>
      <c r="K17" s="25">
        <f t="shared" si="2"/>
        <v>0</v>
      </c>
      <c r="L17" s="25"/>
      <c r="M17" s="26">
        <f t="shared" si="3"/>
        <v>0</v>
      </c>
      <c r="O17" s="356"/>
    </row>
    <row r="18" spans="1:15" s="68" customFormat="1" ht="25.5" x14ac:dyDescent="0.25">
      <c r="A18" s="42">
        <f t="shared" si="0"/>
        <v>8</v>
      </c>
      <c r="B18" s="15"/>
      <c r="C18" s="314" t="s">
        <v>39</v>
      </c>
      <c r="D18" s="315" t="s">
        <v>25</v>
      </c>
      <c r="E18" s="316" t="s">
        <v>12</v>
      </c>
      <c r="F18" s="317">
        <v>2.9</v>
      </c>
      <c r="G18" s="318">
        <f>$G$14*F18</f>
        <v>233.02</v>
      </c>
      <c r="H18" s="3"/>
      <c r="I18" s="24"/>
      <c r="J18" s="25">
        <f t="shared" si="1"/>
        <v>0</v>
      </c>
      <c r="K18" s="25">
        <f t="shared" si="2"/>
        <v>0</v>
      </c>
      <c r="L18" s="25"/>
      <c r="M18" s="26">
        <f t="shared" si="3"/>
        <v>0</v>
      </c>
      <c r="O18" s="356"/>
    </row>
    <row r="19" spans="1:15" s="68" customFormat="1" ht="25.5" x14ac:dyDescent="0.25">
      <c r="A19" s="42">
        <f t="shared" si="0"/>
        <v>9</v>
      </c>
      <c r="B19" s="15"/>
      <c r="C19" s="314" t="s">
        <v>35</v>
      </c>
      <c r="D19" s="315" t="s">
        <v>25</v>
      </c>
      <c r="E19" s="316" t="s">
        <v>12</v>
      </c>
      <c r="F19" s="317">
        <v>1.35</v>
      </c>
      <c r="G19" s="318">
        <f>$G$14*F19</f>
        <v>108.47</v>
      </c>
      <c r="H19" s="3"/>
      <c r="I19" s="24"/>
      <c r="J19" s="25">
        <f t="shared" si="1"/>
        <v>0</v>
      </c>
      <c r="K19" s="25">
        <f t="shared" si="2"/>
        <v>0</v>
      </c>
      <c r="L19" s="25"/>
      <c r="M19" s="26">
        <f t="shared" si="3"/>
        <v>0</v>
      </c>
      <c r="O19" s="356"/>
    </row>
    <row r="20" spans="1:15" s="68" customFormat="1" ht="25.5" x14ac:dyDescent="0.25">
      <c r="A20" s="42">
        <f t="shared" si="0"/>
        <v>10</v>
      </c>
      <c r="B20" s="15"/>
      <c r="C20" s="314" t="s">
        <v>40</v>
      </c>
      <c r="D20" s="315" t="s">
        <v>25</v>
      </c>
      <c r="E20" s="316" t="s">
        <v>34</v>
      </c>
      <c r="F20" s="317">
        <v>0.2</v>
      </c>
      <c r="G20" s="318">
        <f>ROUNDUP($G$14*F20,0)</f>
        <v>17</v>
      </c>
      <c r="H20" s="3"/>
      <c r="I20" s="24"/>
      <c r="J20" s="25">
        <f t="shared" si="1"/>
        <v>0</v>
      </c>
      <c r="K20" s="25">
        <f t="shared" si="2"/>
        <v>0</v>
      </c>
      <c r="L20" s="25"/>
      <c r="M20" s="26">
        <f t="shared" si="3"/>
        <v>0</v>
      </c>
      <c r="O20" s="356"/>
    </row>
    <row r="21" spans="1:15" s="68" customFormat="1" ht="25.5" x14ac:dyDescent="0.25">
      <c r="A21" s="42">
        <f t="shared" si="0"/>
        <v>11</v>
      </c>
      <c r="B21" s="15"/>
      <c r="C21" s="314" t="s">
        <v>41</v>
      </c>
      <c r="D21" s="315" t="s">
        <v>25</v>
      </c>
      <c r="E21" s="316" t="s">
        <v>34</v>
      </c>
      <c r="F21" s="317">
        <v>1.7</v>
      </c>
      <c r="G21" s="318">
        <f>ROUNDUP($G$14*F21,0)</f>
        <v>137</v>
      </c>
      <c r="H21" s="3"/>
      <c r="I21" s="24"/>
      <c r="J21" s="25">
        <f t="shared" si="1"/>
        <v>0</v>
      </c>
      <c r="K21" s="25">
        <f t="shared" si="2"/>
        <v>0</v>
      </c>
      <c r="L21" s="25"/>
      <c r="M21" s="26">
        <f t="shared" si="3"/>
        <v>0</v>
      </c>
      <c r="O21" s="356"/>
    </row>
    <row r="22" spans="1:15" s="68" customFormat="1" ht="25.5" x14ac:dyDescent="0.25">
      <c r="A22" s="42">
        <f t="shared" si="0"/>
        <v>12</v>
      </c>
      <c r="B22" s="15"/>
      <c r="C22" s="314" t="s">
        <v>42</v>
      </c>
      <c r="D22" s="315" t="s">
        <v>25</v>
      </c>
      <c r="E22" s="316" t="s">
        <v>34</v>
      </c>
      <c r="F22" s="317">
        <v>0.7</v>
      </c>
      <c r="G22" s="318">
        <f>ROUNDUP($G$14*F22,0)</f>
        <v>57</v>
      </c>
      <c r="H22" s="3"/>
      <c r="I22" s="24"/>
      <c r="J22" s="25">
        <f t="shared" si="1"/>
        <v>0</v>
      </c>
      <c r="K22" s="25">
        <f t="shared" si="2"/>
        <v>0</v>
      </c>
      <c r="L22" s="25"/>
      <c r="M22" s="26">
        <f t="shared" si="3"/>
        <v>0</v>
      </c>
      <c r="O22" s="356"/>
    </row>
    <row r="23" spans="1:15" s="68" customFormat="1" ht="25.5" x14ac:dyDescent="0.25">
      <c r="A23" s="42">
        <f t="shared" si="0"/>
        <v>13</v>
      </c>
      <c r="B23" s="15"/>
      <c r="C23" s="314" t="s">
        <v>43</v>
      </c>
      <c r="D23" s="315" t="s">
        <v>25</v>
      </c>
      <c r="E23" s="316" t="s">
        <v>34</v>
      </c>
      <c r="F23" s="317">
        <v>0.7</v>
      </c>
      <c r="G23" s="318">
        <f>ROUNDUP($G$14*F23,0)</f>
        <v>57</v>
      </c>
      <c r="H23" s="3"/>
      <c r="I23" s="24"/>
      <c r="J23" s="25">
        <f t="shared" si="1"/>
        <v>0</v>
      </c>
      <c r="K23" s="25">
        <f t="shared" si="2"/>
        <v>0</v>
      </c>
      <c r="L23" s="25"/>
      <c r="M23" s="26">
        <f t="shared" si="3"/>
        <v>0</v>
      </c>
      <c r="O23" s="356"/>
    </row>
    <row r="24" spans="1:15" s="68" customFormat="1" ht="25.5" x14ac:dyDescent="0.25">
      <c r="A24" s="42">
        <f t="shared" si="0"/>
        <v>14</v>
      </c>
      <c r="B24" s="15"/>
      <c r="C24" s="314" t="s">
        <v>36</v>
      </c>
      <c r="D24" s="315" t="s">
        <v>25</v>
      </c>
      <c r="E24" s="316" t="s">
        <v>34</v>
      </c>
      <c r="F24" s="317">
        <v>23</v>
      </c>
      <c r="G24" s="318">
        <f>ROUNDUP($G$14*F24*2,0)</f>
        <v>3697</v>
      </c>
      <c r="H24" s="3"/>
      <c r="I24" s="24"/>
      <c r="J24" s="25">
        <f t="shared" si="1"/>
        <v>0</v>
      </c>
      <c r="K24" s="25">
        <f t="shared" si="2"/>
        <v>0</v>
      </c>
      <c r="L24" s="25"/>
      <c r="M24" s="26">
        <f t="shared" si="3"/>
        <v>0</v>
      </c>
      <c r="O24" s="356"/>
    </row>
    <row r="25" spans="1:15" s="68" customFormat="1" ht="25.5" x14ac:dyDescent="0.25">
      <c r="A25" s="42">
        <f t="shared" si="0"/>
        <v>15</v>
      </c>
      <c r="B25" s="15"/>
      <c r="C25" s="314" t="s">
        <v>44</v>
      </c>
      <c r="D25" s="315" t="s">
        <v>25</v>
      </c>
      <c r="E25" s="316" t="s">
        <v>34</v>
      </c>
      <c r="F25" s="317">
        <v>0.7</v>
      </c>
      <c r="G25" s="318">
        <f>ROUNDUP($G$14*F25*2,0)</f>
        <v>113</v>
      </c>
      <c r="H25" s="3"/>
      <c r="I25" s="24"/>
      <c r="J25" s="25">
        <f t="shared" si="1"/>
        <v>0</v>
      </c>
      <c r="K25" s="25">
        <f t="shared" si="2"/>
        <v>0</v>
      </c>
      <c r="L25" s="25"/>
      <c r="M25" s="26">
        <f t="shared" si="3"/>
        <v>0</v>
      </c>
      <c r="O25" s="356"/>
    </row>
    <row r="26" spans="1:15" s="68" customFormat="1" ht="25.5" x14ac:dyDescent="0.25">
      <c r="A26" s="42">
        <f t="shared" si="0"/>
        <v>16</v>
      </c>
      <c r="B26" s="15"/>
      <c r="C26" s="314" t="s">
        <v>37</v>
      </c>
      <c r="D26" s="315" t="s">
        <v>25</v>
      </c>
      <c r="E26" s="316" t="s">
        <v>10</v>
      </c>
      <c r="F26" s="317">
        <v>0.35</v>
      </c>
      <c r="G26" s="318">
        <f>$G$14*F26</f>
        <v>28.12</v>
      </c>
      <c r="H26" s="3"/>
      <c r="I26" s="24"/>
      <c r="J26" s="25">
        <f t="shared" si="1"/>
        <v>0</v>
      </c>
      <c r="K26" s="25">
        <f t="shared" si="2"/>
        <v>0</v>
      </c>
      <c r="L26" s="25"/>
      <c r="M26" s="26">
        <f t="shared" si="3"/>
        <v>0</v>
      </c>
      <c r="O26" s="356"/>
    </row>
    <row r="27" spans="1:15" s="68" customFormat="1" ht="25.5" x14ac:dyDescent="0.25">
      <c r="A27" s="42">
        <f t="shared" si="0"/>
        <v>17</v>
      </c>
      <c r="B27" s="15"/>
      <c r="C27" s="314" t="s">
        <v>38</v>
      </c>
      <c r="D27" s="315" t="s">
        <v>25</v>
      </c>
      <c r="E27" s="316" t="s">
        <v>12</v>
      </c>
      <c r="F27" s="317">
        <v>1.2</v>
      </c>
      <c r="G27" s="318">
        <f>$G$14*F27</f>
        <v>96.42</v>
      </c>
      <c r="H27" s="3"/>
      <c r="I27" s="24"/>
      <c r="J27" s="25">
        <f t="shared" si="1"/>
        <v>0</v>
      </c>
      <c r="K27" s="25">
        <f t="shared" si="2"/>
        <v>0</v>
      </c>
      <c r="L27" s="25"/>
      <c r="M27" s="26">
        <f t="shared" si="3"/>
        <v>0</v>
      </c>
      <c r="O27" s="356"/>
    </row>
    <row r="28" spans="1:15" s="23" customFormat="1" ht="12.75" x14ac:dyDescent="0.25">
      <c r="A28" s="319">
        <f t="shared" si="0"/>
        <v>18</v>
      </c>
      <c r="B28" s="320" t="s">
        <v>96</v>
      </c>
      <c r="C28" s="321" t="s">
        <v>97</v>
      </c>
      <c r="D28" s="322" t="s">
        <v>22</v>
      </c>
      <c r="E28" s="323" t="s">
        <v>8</v>
      </c>
      <c r="F28" s="143">
        <v>1</v>
      </c>
      <c r="G28" s="313">
        <v>12.8</v>
      </c>
      <c r="H28" s="2"/>
      <c r="I28" s="4"/>
      <c r="J28" s="21">
        <f>I28</f>
        <v>0</v>
      </c>
      <c r="K28" s="21"/>
      <c r="L28" s="21">
        <f>G28*I28</f>
        <v>0</v>
      </c>
      <c r="M28" s="22">
        <f>L28</f>
        <v>0</v>
      </c>
      <c r="O28" s="354"/>
    </row>
    <row r="29" spans="1:15" s="68" customFormat="1" ht="25.5" x14ac:dyDescent="0.25">
      <c r="A29" s="324">
        <f t="shared" si="0"/>
        <v>19</v>
      </c>
      <c r="B29" s="325"/>
      <c r="C29" s="314" t="s">
        <v>98</v>
      </c>
      <c r="D29" s="315" t="s">
        <v>25</v>
      </c>
      <c r="E29" s="316" t="s">
        <v>12</v>
      </c>
      <c r="F29" s="317">
        <v>1.1000000000000001</v>
      </c>
      <c r="G29" s="318">
        <f>G28*9*F29</f>
        <v>126.72</v>
      </c>
      <c r="H29" s="3"/>
      <c r="I29" s="24"/>
      <c r="J29" s="25">
        <f>H29</f>
        <v>0</v>
      </c>
      <c r="K29" s="25">
        <f>G29*H29</f>
        <v>0</v>
      </c>
      <c r="L29" s="25"/>
      <c r="M29" s="26">
        <f>K29</f>
        <v>0</v>
      </c>
      <c r="O29" s="356"/>
    </row>
    <row r="30" spans="1:15" s="23" customFormat="1" ht="12.75" x14ac:dyDescent="0.25">
      <c r="A30" s="43">
        <f t="shared" si="0"/>
        <v>20</v>
      </c>
      <c r="B30" s="14" t="s">
        <v>99</v>
      </c>
      <c r="C30" s="55" t="s">
        <v>100</v>
      </c>
      <c r="D30" s="5" t="s">
        <v>22</v>
      </c>
      <c r="E30" s="6" t="s">
        <v>8</v>
      </c>
      <c r="F30" s="7">
        <v>1</v>
      </c>
      <c r="G30" s="313">
        <f>52+26.8+14.1</f>
        <v>92.9</v>
      </c>
      <c r="H30" s="2"/>
      <c r="I30" s="4"/>
      <c r="J30" s="21">
        <f>I30</f>
        <v>0</v>
      </c>
      <c r="K30" s="21"/>
      <c r="L30" s="21">
        <f>G30*I30</f>
        <v>0</v>
      </c>
      <c r="M30" s="22">
        <f>L30</f>
        <v>0</v>
      </c>
      <c r="O30" s="354"/>
    </row>
    <row r="31" spans="1:15" s="68" customFormat="1" ht="25.5" x14ac:dyDescent="0.25">
      <c r="A31" s="42">
        <f t="shared" si="0"/>
        <v>21</v>
      </c>
      <c r="B31" s="15"/>
      <c r="C31" s="326" t="s">
        <v>13</v>
      </c>
      <c r="D31" s="315" t="s">
        <v>25</v>
      </c>
      <c r="E31" s="316" t="s">
        <v>14</v>
      </c>
      <c r="F31" s="317">
        <v>0.1</v>
      </c>
      <c r="G31" s="318">
        <f>G30*F31</f>
        <v>9.2899999999999991</v>
      </c>
      <c r="H31" s="3"/>
      <c r="I31" s="24"/>
      <c r="J31" s="25">
        <f>H31</f>
        <v>0</v>
      </c>
      <c r="K31" s="25">
        <f>G31*H31</f>
        <v>0</v>
      </c>
      <c r="L31" s="25"/>
      <c r="M31" s="26">
        <f>K31</f>
        <v>0</v>
      </c>
      <c r="O31" s="356"/>
    </row>
    <row r="32" spans="1:15" s="68" customFormat="1" ht="25.5" x14ac:dyDescent="0.25">
      <c r="A32" s="42">
        <f t="shared" si="0"/>
        <v>22</v>
      </c>
      <c r="B32" s="15"/>
      <c r="C32" s="326" t="s">
        <v>101</v>
      </c>
      <c r="D32" s="315" t="s">
        <v>25</v>
      </c>
      <c r="E32" s="316" t="s">
        <v>10</v>
      </c>
      <c r="F32" s="317">
        <v>1.2</v>
      </c>
      <c r="G32" s="318">
        <f>G30*F32</f>
        <v>111.48</v>
      </c>
      <c r="H32" s="3"/>
      <c r="I32" s="24"/>
      <c r="J32" s="25">
        <f>H32</f>
        <v>0</v>
      </c>
      <c r="K32" s="25">
        <f>G32*H32</f>
        <v>0</v>
      </c>
      <c r="L32" s="25"/>
      <c r="M32" s="26">
        <f>K32</f>
        <v>0</v>
      </c>
      <c r="O32" s="356"/>
    </row>
    <row r="33" spans="1:15" s="68" customFormat="1" ht="25.5" x14ac:dyDescent="0.25">
      <c r="A33" s="42">
        <f t="shared" si="0"/>
        <v>23</v>
      </c>
      <c r="B33" s="15"/>
      <c r="C33" s="314" t="s">
        <v>23</v>
      </c>
      <c r="D33" s="315" t="s">
        <v>25</v>
      </c>
      <c r="E33" s="316" t="s">
        <v>10</v>
      </c>
      <c r="F33" s="317">
        <v>1.7</v>
      </c>
      <c r="G33" s="318">
        <f>G30*F33</f>
        <v>157.93</v>
      </c>
      <c r="H33" s="3"/>
      <c r="I33" s="24"/>
      <c r="J33" s="25">
        <f>H33</f>
        <v>0</v>
      </c>
      <c r="K33" s="25">
        <f>G33*H33</f>
        <v>0</v>
      </c>
      <c r="L33" s="25"/>
      <c r="M33" s="26">
        <f>K33</f>
        <v>0</v>
      </c>
      <c r="O33" s="356"/>
    </row>
    <row r="34" spans="1:15" s="23" customFormat="1" ht="38.25" x14ac:dyDescent="0.25">
      <c r="A34" s="43">
        <f t="shared" si="0"/>
        <v>24</v>
      </c>
      <c r="B34" s="14" t="s">
        <v>102</v>
      </c>
      <c r="C34" s="8" t="s">
        <v>103</v>
      </c>
      <c r="D34" s="5" t="s">
        <v>22</v>
      </c>
      <c r="E34" s="6" t="s">
        <v>8</v>
      </c>
      <c r="F34" s="7">
        <v>1</v>
      </c>
      <c r="G34" s="313">
        <f>52+26.8+14.1+12.8</f>
        <v>105.7</v>
      </c>
      <c r="H34" s="2"/>
      <c r="I34" s="4"/>
      <c r="J34" s="21">
        <f>I34</f>
        <v>0</v>
      </c>
      <c r="K34" s="21"/>
      <c r="L34" s="21">
        <f>G34*I34</f>
        <v>0</v>
      </c>
      <c r="M34" s="22">
        <f>L34</f>
        <v>0</v>
      </c>
      <c r="O34" s="354"/>
    </row>
    <row r="35" spans="1:15" s="68" customFormat="1" ht="25.5" x14ac:dyDescent="0.25">
      <c r="A35" s="42">
        <f t="shared" si="0"/>
        <v>25</v>
      </c>
      <c r="B35" s="15"/>
      <c r="C35" s="314" t="s">
        <v>13</v>
      </c>
      <c r="D35" s="315" t="s">
        <v>25</v>
      </c>
      <c r="E35" s="316" t="s">
        <v>14</v>
      </c>
      <c r="F35" s="317">
        <v>0.1</v>
      </c>
      <c r="G35" s="318">
        <f>G34*F35</f>
        <v>10.57</v>
      </c>
      <c r="H35" s="3"/>
      <c r="I35" s="24"/>
      <c r="J35" s="25">
        <f>H35</f>
        <v>0</v>
      </c>
      <c r="K35" s="25">
        <f>G35*H35</f>
        <v>0</v>
      </c>
      <c r="L35" s="25"/>
      <c r="M35" s="26">
        <f>K35</f>
        <v>0</v>
      </c>
      <c r="O35" s="356"/>
    </row>
    <row r="36" spans="1:15" s="68" customFormat="1" ht="25.5" x14ac:dyDescent="0.25">
      <c r="A36" s="42">
        <f t="shared" si="0"/>
        <v>26</v>
      </c>
      <c r="B36" s="15"/>
      <c r="C36" s="314" t="s">
        <v>104</v>
      </c>
      <c r="D36" s="315" t="s">
        <v>25</v>
      </c>
      <c r="E36" s="316" t="s">
        <v>14</v>
      </c>
      <c r="F36" s="317">
        <v>0.3</v>
      </c>
      <c r="G36" s="318">
        <f>52*F36</f>
        <v>15.6</v>
      </c>
      <c r="H36" s="3"/>
      <c r="I36" s="24"/>
      <c r="J36" s="25">
        <f>H36</f>
        <v>0</v>
      </c>
      <c r="K36" s="25">
        <f>G36*H36</f>
        <v>0</v>
      </c>
      <c r="L36" s="25"/>
      <c r="M36" s="26">
        <f>K36</f>
        <v>0</v>
      </c>
      <c r="O36" s="356"/>
    </row>
    <row r="37" spans="1:15" s="68" customFormat="1" ht="25.5" x14ac:dyDescent="0.25">
      <c r="A37" s="42">
        <f t="shared" si="0"/>
        <v>27</v>
      </c>
      <c r="B37" s="15"/>
      <c r="C37" s="314" t="s">
        <v>105</v>
      </c>
      <c r="D37" s="315" t="s">
        <v>25</v>
      </c>
      <c r="E37" s="316" t="s">
        <v>14</v>
      </c>
      <c r="F37" s="317">
        <v>0.3</v>
      </c>
      <c r="G37" s="318">
        <f>26.8*F37</f>
        <v>8.0399999999999991</v>
      </c>
      <c r="H37" s="3"/>
      <c r="I37" s="24"/>
      <c r="J37" s="25">
        <f>H37</f>
        <v>0</v>
      </c>
      <c r="K37" s="25">
        <f>G37*H37</f>
        <v>0</v>
      </c>
      <c r="L37" s="25"/>
      <c r="M37" s="26">
        <f>K37</f>
        <v>0</v>
      </c>
      <c r="O37" s="356"/>
    </row>
    <row r="38" spans="1:15" s="68" customFormat="1" ht="25.5" x14ac:dyDescent="0.25">
      <c r="A38" s="42">
        <f t="shared" si="0"/>
        <v>28</v>
      </c>
      <c r="B38" s="38"/>
      <c r="C38" s="314" t="s">
        <v>106</v>
      </c>
      <c r="D38" s="315" t="s">
        <v>25</v>
      </c>
      <c r="E38" s="316" t="s">
        <v>14</v>
      </c>
      <c r="F38" s="317">
        <v>0.3</v>
      </c>
      <c r="G38" s="318">
        <f>14.1*F38</f>
        <v>4.2300000000000004</v>
      </c>
      <c r="H38" s="3"/>
      <c r="I38" s="24"/>
      <c r="J38" s="25">
        <f>H38</f>
        <v>0</v>
      </c>
      <c r="K38" s="25">
        <f>G38*H38</f>
        <v>0</v>
      </c>
      <c r="L38" s="25"/>
      <c r="M38" s="26">
        <f>K38</f>
        <v>0</v>
      </c>
      <c r="O38" s="356"/>
    </row>
    <row r="39" spans="1:15" s="68" customFormat="1" ht="51" x14ac:dyDescent="0.25">
      <c r="A39" s="42">
        <f t="shared" si="0"/>
        <v>29</v>
      </c>
      <c r="B39" s="38" t="s">
        <v>126</v>
      </c>
      <c r="C39" s="314" t="s">
        <v>107</v>
      </c>
      <c r="D39" s="315" t="s">
        <v>25</v>
      </c>
      <c r="E39" s="316" t="s">
        <v>14</v>
      </c>
      <c r="F39" s="317">
        <v>0.3</v>
      </c>
      <c r="G39" s="318">
        <f>(12.8+16.7*0.32)*F39</f>
        <v>5.44</v>
      </c>
      <c r="H39" s="3"/>
      <c r="I39" s="24"/>
      <c r="J39" s="25">
        <f>H39</f>
        <v>0</v>
      </c>
      <c r="K39" s="25">
        <f>G39*H39</f>
        <v>0</v>
      </c>
      <c r="L39" s="25"/>
      <c r="M39" s="26">
        <f>K39</f>
        <v>0</v>
      </c>
      <c r="O39" s="356"/>
    </row>
    <row r="40" spans="1:15" s="44" customFormat="1" ht="25.5" customHeight="1" x14ac:dyDescent="0.25">
      <c r="A40" s="256">
        <f>ROW()-10</f>
        <v>30</v>
      </c>
      <c r="B40" s="306" t="s">
        <v>110</v>
      </c>
      <c r="C40" s="307" t="s">
        <v>109</v>
      </c>
      <c r="D40" s="36"/>
      <c r="E40" s="308"/>
      <c r="F40" s="309"/>
      <c r="G40" s="310"/>
      <c r="H40" s="39"/>
      <c r="I40" s="37"/>
      <c r="J40" s="28"/>
      <c r="K40" s="28"/>
      <c r="L40" s="28"/>
      <c r="M40" s="40"/>
      <c r="O40" s="355"/>
    </row>
    <row r="41" spans="1:15" s="23" customFormat="1" ht="12.75" x14ac:dyDescent="0.25">
      <c r="A41" s="43">
        <f t="shared" ref="A41:A66" si="4">ROW()-10</f>
        <v>31</v>
      </c>
      <c r="B41" s="14" t="s">
        <v>110</v>
      </c>
      <c r="C41" s="55" t="s">
        <v>21</v>
      </c>
      <c r="D41" s="5" t="s">
        <v>22</v>
      </c>
      <c r="E41" s="6" t="s">
        <v>8</v>
      </c>
      <c r="F41" s="7">
        <v>1</v>
      </c>
      <c r="G41" s="313">
        <v>238.63</v>
      </c>
      <c r="H41" s="2"/>
      <c r="I41" s="4"/>
      <c r="J41" s="21">
        <f>I41</f>
        <v>0</v>
      </c>
      <c r="K41" s="21"/>
      <c r="L41" s="21">
        <f>G41*I41</f>
        <v>0</v>
      </c>
      <c r="M41" s="22">
        <f>L41</f>
        <v>0</v>
      </c>
      <c r="O41" s="354"/>
    </row>
    <row r="42" spans="1:15" s="68" customFormat="1" ht="25.5" x14ac:dyDescent="0.25">
      <c r="A42" s="42">
        <f t="shared" si="4"/>
        <v>32</v>
      </c>
      <c r="B42" s="15"/>
      <c r="C42" s="326" t="s">
        <v>13</v>
      </c>
      <c r="D42" s="315" t="s">
        <v>25</v>
      </c>
      <c r="E42" s="316" t="s">
        <v>14</v>
      </c>
      <c r="F42" s="317">
        <v>0.1</v>
      </c>
      <c r="G42" s="318">
        <f>G41*F42</f>
        <v>23.86</v>
      </c>
      <c r="H42" s="3"/>
      <c r="I42" s="24"/>
      <c r="J42" s="25">
        <f>H42</f>
        <v>0</v>
      </c>
      <c r="K42" s="25">
        <f>G42*H42</f>
        <v>0</v>
      </c>
      <c r="L42" s="25"/>
      <c r="M42" s="26">
        <f>K42</f>
        <v>0</v>
      </c>
      <c r="O42" s="356"/>
    </row>
    <row r="43" spans="1:15" s="68" customFormat="1" ht="25.5" x14ac:dyDescent="0.25">
      <c r="A43" s="42">
        <f t="shared" si="4"/>
        <v>33</v>
      </c>
      <c r="B43" s="15"/>
      <c r="C43" s="326" t="s">
        <v>52</v>
      </c>
      <c r="D43" s="315" t="s">
        <v>25</v>
      </c>
      <c r="E43" s="316" t="s">
        <v>10</v>
      </c>
      <c r="F43" s="317">
        <v>1.2</v>
      </c>
      <c r="G43" s="318">
        <f>G41*F43</f>
        <v>286.36</v>
      </c>
      <c r="H43" s="3"/>
      <c r="I43" s="24"/>
      <c r="J43" s="25">
        <f>H43</f>
        <v>0</v>
      </c>
      <c r="K43" s="25">
        <f>G43*H43</f>
        <v>0</v>
      </c>
      <c r="L43" s="25"/>
      <c r="M43" s="26">
        <f>K43</f>
        <v>0</v>
      </c>
      <c r="O43" s="356"/>
    </row>
    <row r="44" spans="1:15" s="68" customFormat="1" ht="25.5" x14ac:dyDescent="0.25">
      <c r="A44" s="42">
        <f t="shared" si="4"/>
        <v>34</v>
      </c>
      <c r="B44" s="15"/>
      <c r="C44" s="314" t="s">
        <v>23</v>
      </c>
      <c r="D44" s="315" t="s">
        <v>25</v>
      </c>
      <c r="E44" s="316" t="s">
        <v>10</v>
      </c>
      <c r="F44" s="317">
        <v>1.7</v>
      </c>
      <c r="G44" s="318">
        <f>G41*F44</f>
        <v>405.67</v>
      </c>
      <c r="H44" s="3"/>
      <c r="I44" s="24"/>
      <c r="J44" s="25">
        <f>H44</f>
        <v>0</v>
      </c>
      <c r="K44" s="25">
        <f>G44*H44</f>
        <v>0</v>
      </c>
      <c r="L44" s="25"/>
      <c r="M44" s="26">
        <f>K44</f>
        <v>0</v>
      </c>
      <c r="O44" s="356"/>
    </row>
    <row r="45" spans="1:15" s="23" customFormat="1" ht="12.75" x14ac:dyDescent="0.25">
      <c r="A45" s="43">
        <f t="shared" si="4"/>
        <v>35</v>
      </c>
      <c r="B45" s="14" t="s">
        <v>110</v>
      </c>
      <c r="C45" s="8" t="s">
        <v>15</v>
      </c>
      <c r="D45" s="5" t="s">
        <v>22</v>
      </c>
      <c r="E45" s="6" t="s">
        <v>8</v>
      </c>
      <c r="F45" s="7">
        <v>1</v>
      </c>
      <c r="G45" s="313">
        <v>108.9</v>
      </c>
      <c r="H45" s="2"/>
      <c r="I45" s="4"/>
      <c r="J45" s="21">
        <f>I45</f>
        <v>0</v>
      </c>
      <c r="K45" s="21"/>
      <c r="L45" s="21">
        <f>G45*I45</f>
        <v>0</v>
      </c>
      <c r="M45" s="22">
        <f>L45</f>
        <v>0</v>
      </c>
      <c r="O45" s="354"/>
    </row>
    <row r="46" spans="1:15" s="68" customFormat="1" ht="25.5" x14ac:dyDescent="0.25">
      <c r="A46" s="42">
        <f t="shared" si="4"/>
        <v>36</v>
      </c>
      <c r="B46" s="15"/>
      <c r="C46" s="314" t="s">
        <v>13</v>
      </c>
      <c r="D46" s="315" t="s">
        <v>25</v>
      </c>
      <c r="E46" s="316" t="s">
        <v>14</v>
      </c>
      <c r="F46" s="317">
        <v>0.1</v>
      </c>
      <c r="G46" s="318">
        <f>G45*F46</f>
        <v>10.89</v>
      </c>
      <c r="H46" s="3"/>
      <c r="I46" s="24"/>
      <c r="J46" s="25">
        <f>H46</f>
        <v>0</v>
      </c>
      <c r="K46" s="25">
        <f>G46*H46</f>
        <v>0</v>
      </c>
      <c r="L46" s="25"/>
      <c r="M46" s="26">
        <f>K46</f>
        <v>0</v>
      </c>
      <c r="O46" s="356"/>
    </row>
    <row r="47" spans="1:15" s="68" customFormat="1" ht="25.5" x14ac:dyDescent="0.25">
      <c r="A47" s="42">
        <f t="shared" si="4"/>
        <v>37</v>
      </c>
      <c r="B47" s="15"/>
      <c r="C47" s="314" t="s">
        <v>104</v>
      </c>
      <c r="D47" s="315" t="s">
        <v>25</v>
      </c>
      <c r="E47" s="316" t="s">
        <v>14</v>
      </c>
      <c r="F47" s="317">
        <v>0.3</v>
      </c>
      <c r="G47" s="318">
        <f>97.14*F47</f>
        <v>29.14</v>
      </c>
      <c r="H47" s="3"/>
      <c r="I47" s="24"/>
      <c r="J47" s="25">
        <f>H47</f>
        <v>0</v>
      </c>
      <c r="K47" s="25">
        <f>G47*H47</f>
        <v>0</v>
      </c>
      <c r="L47" s="25"/>
      <c r="M47" s="26">
        <f>K47</f>
        <v>0</v>
      </c>
      <c r="O47" s="356"/>
    </row>
    <row r="48" spans="1:15" s="68" customFormat="1" ht="25.5" x14ac:dyDescent="0.25">
      <c r="A48" s="42">
        <f t="shared" si="4"/>
        <v>38</v>
      </c>
      <c r="B48" s="15"/>
      <c r="C48" s="314" t="s">
        <v>105</v>
      </c>
      <c r="D48" s="315" t="s">
        <v>25</v>
      </c>
      <c r="E48" s="316" t="s">
        <v>14</v>
      </c>
      <c r="F48" s="317">
        <v>0.3</v>
      </c>
      <c r="G48" s="318">
        <f>11.75*F48</f>
        <v>3.53</v>
      </c>
      <c r="H48" s="3"/>
      <c r="I48" s="24"/>
      <c r="J48" s="25">
        <f>H48</f>
        <v>0</v>
      </c>
      <c r="K48" s="25">
        <f>G48*H48</f>
        <v>0</v>
      </c>
      <c r="L48" s="25"/>
      <c r="M48" s="26">
        <f>K48</f>
        <v>0</v>
      </c>
      <c r="O48" s="356"/>
    </row>
    <row r="49" spans="1:15" s="23" customFormat="1" ht="38.25" x14ac:dyDescent="0.25">
      <c r="A49" s="43">
        <f t="shared" si="4"/>
        <v>39</v>
      </c>
      <c r="B49" s="14" t="s">
        <v>110</v>
      </c>
      <c r="C49" s="8" t="s">
        <v>134</v>
      </c>
      <c r="D49" s="5" t="s">
        <v>22</v>
      </c>
      <c r="E49" s="6" t="s">
        <v>8</v>
      </c>
      <c r="F49" s="7">
        <v>1</v>
      </c>
      <c r="G49" s="313">
        <v>65.55</v>
      </c>
      <c r="H49" s="2"/>
      <c r="I49" s="4"/>
      <c r="J49" s="21">
        <f>I49</f>
        <v>0</v>
      </c>
      <c r="K49" s="21"/>
      <c r="L49" s="21">
        <f>G49*I49</f>
        <v>0</v>
      </c>
      <c r="M49" s="22">
        <f>L49</f>
        <v>0</v>
      </c>
      <c r="O49" s="354"/>
    </row>
    <row r="50" spans="1:15" s="68" customFormat="1" ht="25.5" x14ac:dyDescent="0.25">
      <c r="A50" s="42">
        <f t="shared" si="4"/>
        <v>40</v>
      </c>
      <c r="B50" s="15"/>
      <c r="C50" s="314" t="s">
        <v>58</v>
      </c>
      <c r="D50" s="315" t="s">
        <v>25</v>
      </c>
      <c r="E50" s="316" t="s">
        <v>8</v>
      </c>
      <c r="F50" s="317">
        <v>1.07</v>
      </c>
      <c r="G50" s="318">
        <f>G49*F50</f>
        <v>70.14</v>
      </c>
      <c r="H50" s="3"/>
      <c r="I50" s="24"/>
      <c r="J50" s="25">
        <f>H50</f>
        <v>0</v>
      </c>
      <c r="K50" s="25">
        <f>G50*H50</f>
        <v>0</v>
      </c>
      <c r="L50" s="25"/>
      <c r="M50" s="26">
        <f>K50</f>
        <v>0</v>
      </c>
      <c r="O50" s="356"/>
    </row>
    <row r="51" spans="1:15" s="68" customFormat="1" ht="25.5" x14ac:dyDescent="0.25">
      <c r="A51" s="42">
        <f t="shared" si="4"/>
        <v>41</v>
      </c>
      <c r="B51" s="15"/>
      <c r="C51" s="314" t="s">
        <v>9</v>
      </c>
      <c r="D51" s="315" t="s">
        <v>25</v>
      </c>
      <c r="E51" s="316" t="s">
        <v>10</v>
      </c>
      <c r="F51" s="317">
        <v>12</v>
      </c>
      <c r="G51" s="318">
        <f>G49*0.3*F51</f>
        <v>235.98</v>
      </c>
      <c r="H51" s="3"/>
      <c r="I51" s="24"/>
      <c r="J51" s="25">
        <f>H51</f>
        <v>0</v>
      </c>
      <c r="K51" s="25">
        <f>G51*H51</f>
        <v>0</v>
      </c>
      <c r="L51" s="25"/>
      <c r="M51" s="26">
        <f>K51</f>
        <v>0</v>
      </c>
      <c r="O51" s="356"/>
    </row>
    <row r="52" spans="1:15" s="68" customFormat="1" ht="25.5" x14ac:dyDescent="0.25">
      <c r="A52" s="42">
        <f t="shared" si="4"/>
        <v>42</v>
      </c>
      <c r="B52" s="15"/>
      <c r="C52" s="314" t="s">
        <v>11</v>
      </c>
      <c r="D52" s="315" t="s">
        <v>25</v>
      </c>
      <c r="E52" s="316" t="s">
        <v>10</v>
      </c>
      <c r="F52" s="317">
        <v>0.25</v>
      </c>
      <c r="G52" s="318">
        <f>G49*0.3*F52</f>
        <v>4.92</v>
      </c>
      <c r="H52" s="3"/>
      <c r="I52" s="24"/>
      <c r="J52" s="25">
        <f>H52</f>
        <v>0</v>
      </c>
      <c r="K52" s="25">
        <f>G52*H52</f>
        <v>0</v>
      </c>
      <c r="L52" s="25"/>
      <c r="M52" s="26">
        <f>K52</f>
        <v>0</v>
      </c>
      <c r="O52" s="356"/>
    </row>
    <row r="53" spans="1:15" s="68" customFormat="1" ht="25.5" x14ac:dyDescent="0.25">
      <c r="A53" s="42">
        <f t="shared" si="4"/>
        <v>43</v>
      </c>
      <c r="B53" s="15"/>
      <c r="C53" s="314" t="s">
        <v>46</v>
      </c>
      <c r="D53" s="315" t="s">
        <v>25</v>
      </c>
      <c r="E53" s="316" t="s">
        <v>12</v>
      </c>
      <c r="F53" s="317">
        <v>1.1000000000000001</v>
      </c>
      <c r="G53" s="318">
        <f>22.08*F53</f>
        <v>24.29</v>
      </c>
      <c r="H53" s="3"/>
      <c r="I53" s="24"/>
      <c r="J53" s="25">
        <f>H53</f>
        <v>0</v>
      </c>
      <c r="K53" s="25">
        <f>G53*H53</f>
        <v>0</v>
      </c>
      <c r="L53" s="25"/>
      <c r="M53" s="26">
        <f>K53</f>
        <v>0</v>
      </c>
      <c r="O53" s="356"/>
    </row>
    <row r="54" spans="1:15" s="23" customFormat="1" ht="38.25" x14ac:dyDescent="0.25">
      <c r="A54" s="43">
        <f t="shared" si="4"/>
        <v>44</v>
      </c>
      <c r="B54" s="14" t="s">
        <v>110</v>
      </c>
      <c r="C54" s="8" t="s">
        <v>49</v>
      </c>
      <c r="D54" s="5" t="s">
        <v>22</v>
      </c>
      <c r="E54" s="6" t="s">
        <v>8</v>
      </c>
      <c r="F54" s="7">
        <v>1</v>
      </c>
      <c r="G54" s="313">
        <v>129.72999999999999</v>
      </c>
      <c r="H54" s="2"/>
      <c r="I54" s="4"/>
      <c r="J54" s="21">
        <f>I54</f>
        <v>0</v>
      </c>
      <c r="K54" s="21"/>
      <c r="L54" s="21">
        <f>G54*I54</f>
        <v>0</v>
      </c>
      <c r="M54" s="22">
        <f>L54</f>
        <v>0</v>
      </c>
      <c r="O54" s="354"/>
    </row>
    <row r="55" spans="1:15" s="68" customFormat="1" ht="25.5" x14ac:dyDescent="0.25">
      <c r="A55" s="42">
        <f t="shared" si="4"/>
        <v>45</v>
      </c>
      <c r="B55" s="15"/>
      <c r="C55" s="314" t="s">
        <v>131</v>
      </c>
      <c r="D55" s="315" t="s">
        <v>25</v>
      </c>
      <c r="E55" s="316" t="s">
        <v>10</v>
      </c>
      <c r="F55" s="317">
        <v>2.5</v>
      </c>
      <c r="G55" s="318">
        <f>57.5*F55</f>
        <v>143.75</v>
      </c>
      <c r="H55" s="3"/>
      <c r="I55" s="24"/>
      <c r="J55" s="25">
        <f>H55</f>
        <v>0</v>
      </c>
      <c r="K55" s="25">
        <f>G55*H55</f>
        <v>0</v>
      </c>
      <c r="L55" s="25"/>
      <c r="M55" s="26">
        <f>K55</f>
        <v>0</v>
      </c>
      <c r="O55" s="356"/>
    </row>
    <row r="56" spans="1:15" s="68" customFormat="1" ht="25.5" x14ac:dyDescent="0.25">
      <c r="A56" s="42">
        <f t="shared" si="4"/>
        <v>46</v>
      </c>
      <c r="B56" s="15"/>
      <c r="C56" s="314" t="s">
        <v>132</v>
      </c>
      <c r="D56" s="315" t="s">
        <v>25</v>
      </c>
      <c r="E56" s="316" t="s">
        <v>10</v>
      </c>
      <c r="F56" s="317">
        <v>2.5</v>
      </c>
      <c r="G56" s="318">
        <f>72.23*F56</f>
        <v>180.58</v>
      </c>
      <c r="H56" s="3"/>
      <c r="I56" s="24"/>
      <c r="J56" s="25">
        <f>H56</f>
        <v>0</v>
      </c>
      <c r="K56" s="25">
        <f>G56*H56</f>
        <v>0</v>
      </c>
      <c r="L56" s="25"/>
      <c r="M56" s="26">
        <f>K56</f>
        <v>0</v>
      </c>
      <c r="O56" s="356"/>
    </row>
    <row r="57" spans="1:15" s="23" customFormat="1" ht="12.75" x14ac:dyDescent="0.25">
      <c r="A57" s="43">
        <f t="shared" si="4"/>
        <v>47</v>
      </c>
      <c r="B57" s="14" t="s">
        <v>110</v>
      </c>
      <c r="C57" s="8" t="s">
        <v>50</v>
      </c>
      <c r="D57" s="5" t="s">
        <v>22</v>
      </c>
      <c r="E57" s="6" t="s">
        <v>12</v>
      </c>
      <c r="F57" s="7">
        <v>1</v>
      </c>
      <c r="G57" s="313">
        <v>18.899999999999999</v>
      </c>
      <c r="H57" s="2"/>
      <c r="I57" s="4"/>
      <c r="J57" s="21">
        <f>I57</f>
        <v>0</v>
      </c>
      <c r="K57" s="21"/>
      <c r="L57" s="21">
        <f>G57*I57</f>
        <v>0</v>
      </c>
      <c r="M57" s="22">
        <f>L57</f>
        <v>0</v>
      </c>
      <c r="O57" s="354"/>
    </row>
    <row r="58" spans="1:15" s="68" customFormat="1" ht="25.5" x14ac:dyDescent="0.25">
      <c r="A58" s="42">
        <f t="shared" si="4"/>
        <v>48</v>
      </c>
      <c r="B58" s="15"/>
      <c r="C58" s="314" t="s">
        <v>51</v>
      </c>
      <c r="D58" s="315" t="s">
        <v>25</v>
      </c>
      <c r="E58" s="316" t="s">
        <v>12</v>
      </c>
      <c r="F58" s="317">
        <v>1.1000000000000001</v>
      </c>
      <c r="G58" s="318">
        <f>G57*F58</f>
        <v>20.79</v>
      </c>
      <c r="H58" s="3"/>
      <c r="I58" s="24"/>
      <c r="J58" s="25">
        <f>H58</f>
        <v>0</v>
      </c>
      <c r="K58" s="25">
        <f>G58*H58</f>
        <v>0</v>
      </c>
      <c r="L58" s="25"/>
      <c r="M58" s="26">
        <f>K58</f>
        <v>0</v>
      </c>
      <c r="O58" s="356"/>
    </row>
    <row r="59" spans="1:15" s="23" customFormat="1" ht="12.75" x14ac:dyDescent="0.25">
      <c r="A59" s="43">
        <f t="shared" si="4"/>
        <v>49</v>
      </c>
      <c r="B59" s="14" t="s">
        <v>110</v>
      </c>
      <c r="C59" s="8" t="s">
        <v>20</v>
      </c>
      <c r="D59" s="5" t="s">
        <v>22</v>
      </c>
      <c r="E59" s="6" t="s">
        <v>24</v>
      </c>
      <c r="F59" s="7">
        <v>1</v>
      </c>
      <c r="G59" s="313">
        <v>11.91</v>
      </c>
      <c r="H59" s="2"/>
      <c r="I59" s="4"/>
      <c r="J59" s="21">
        <f>I59</f>
        <v>0</v>
      </c>
      <c r="K59" s="21"/>
      <c r="L59" s="21">
        <f>G59*I59</f>
        <v>0</v>
      </c>
      <c r="M59" s="22">
        <f>L59</f>
        <v>0</v>
      </c>
      <c r="O59" s="354"/>
    </row>
    <row r="60" spans="1:15" s="68" customFormat="1" ht="25.5" x14ac:dyDescent="0.25">
      <c r="A60" s="42">
        <f t="shared" si="4"/>
        <v>50</v>
      </c>
      <c r="B60" s="327"/>
      <c r="C60" s="314" t="s">
        <v>32</v>
      </c>
      <c r="D60" s="315" t="s">
        <v>25</v>
      </c>
      <c r="E60" s="328" t="s">
        <v>10</v>
      </c>
      <c r="F60" s="329">
        <v>0.05</v>
      </c>
      <c r="G60" s="318">
        <f>G59*0.2*F60</f>
        <v>0.12</v>
      </c>
      <c r="H60" s="3"/>
      <c r="I60" s="69"/>
      <c r="J60" s="25">
        <f t="shared" ref="J60:J66" si="5">H60</f>
        <v>0</v>
      </c>
      <c r="K60" s="25">
        <f t="shared" ref="K60:K66" si="6">G60*H60</f>
        <v>0</v>
      </c>
      <c r="L60" s="25"/>
      <c r="M60" s="26">
        <f t="shared" ref="M60:M66" si="7">K60</f>
        <v>0</v>
      </c>
      <c r="O60" s="356"/>
    </row>
    <row r="61" spans="1:15" s="68" customFormat="1" ht="25.5" x14ac:dyDescent="0.25">
      <c r="A61" s="42">
        <f t="shared" si="4"/>
        <v>51</v>
      </c>
      <c r="B61" s="327"/>
      <c r="C61" s="314" t="s">
        <v>33</v>
      </c>
      <c r="D61" s="315" t="s">
        <v>25</v>
      </c>
      <c r="E61" s="328" t="s">
        <v>10</v>
      </c>
      <c r="F61" s="329">
        <v>10</v>
      </c>
      <c r="G61" s="318">
        <f>G59*0.2*F61</f>
        <v>23.82</v>
      </c>
      <c r="H61" s="3"/>
      <c r="I61" s="69"/>
      <c r="J61" s="25">
        <f t="shared" si="5"/>
        <v>0</v>
      </c>
      <c r="K61" s="25">
        <f t="shared" si="6"/>
        <v>0</v>
      </c>
      <c r="L61" s="25"/>
      <c r="M61" s="26">
        <f t="shared" si="7"/>
        <v>0</v>
      </c>
      <c r="O61" s="356"/>
    </row>
    <row r="62" spans="1:15" s="68" customFormat="1" ht="25.5" x14ac:dyDescent="0.25">
      <c r="A62" s="42">
        <f t="shared" si="4"/>
        <v>52</v>
      </c>
      <c r="B62" s="15"/>
      <c r="C62" s="314" t="s">
        <v>13</v>
      </c>
      <c r="D62" s="315" t="s">
        <v>25</v>
      </c>
      <c r="E62" s="316" t="s">
        <v>14</v>
      </c>
      <c r="F62" s="317">
        <v>0.1</v>
      </c>
      <c r="G62" s="318">
        <f>G59*0.2*F62</f>
        <v>0.24</v>
      </c>
      <c r="H62" s="3"/>
      <c r="I62" s="24"/>
      <c r="J62" s="25">
        <f t="shared" si="5"/>
        <v>0</v>
      </c>
      <c r="K62" s="25">
        <f t="shared" si="6"/>
        <v>0</v>
      </c>
      <c r="L62" s="25"/>
      <c r="M62" s="26">
        <f t="shared" si="7"/>
        <v>0</v>
      </c>
      <c r="O62" s="356"/>
    </row>
    <row r="63" spans="1:15" s="68" customFormat="1" ht="25.5" x14ac:dyDescent="0.25">
      <c r="A63" s="42">
        <f t="shared" si="4"/>
        <v>53</v>
      </c>
      <c r="B63" s="327"/>
      <c r="C63" s="314" t="s">
        <v>23</v>
      </c>
      <c r="D63" s="330" t="s">
        <v>25</v>
      </c>
      <c r="E63" s="328" t="s">
        <v>10</v>
      </c>
      <c r="F63" s="329">
        <v>1.7</v>
      </c>
      <c r="G63" s="318">
        <f>G59*0.2*F63</f>
        <v>4.05</v>
      </c>
      <c r="H63" s="3"/>
      <c r="I63" s="69"/>
      <c r="J63" s="25">
        <f t="shared" si="5"/>
        <v>0</v>
      </c>
      <c r="K63" s="25">
        <f t="shared" si="6"/>
        <v>0</v>
      </c>
      <c r="L63" s="25"/>
      <c r="M63" s="26">
        <f t="shared" si="7"/>
        <v>0</v>
      </c>
      <c r="O63" s="356"/>
    </row>
    <row r="64" spans="1:15" s="68" customFormat="1" ht="25.5" x14ac:dyDescent="0.25">
      <c r="A64" s="42">
        <f t="shared" si="4"/>
        <v>54</v>
      </c>
      <c r="B64" s="15"/>
      <c r="C64" s="314" t="s">
        <v>104</v>
      </c>
      <c r="D64" s="315" t="s">
        <v>25</v>
      </c>
      <c r="E64" s="316" t="s">
        <v>14</v>
      </c>
      <c r="F64" s="317">
        <v>0.3</v>
      </c>
      <c r="G64" s="318">
        <f>5.4*0.2*F64</f>
        <v>0.32</v>
      </c>
      <c r="H64" s="3"/>
      <c r="I64" s="69"/>
      <c r="J64" s="25">
        <f t="shared" si="5"/>
        <v>0</v>
      </c>
      <c r="K64" s="25">
        <f t="shared" si="6"/>
        <v>0</v>
      </c>
      <c r="L64" s="25"/>
      <c r="M64" s="26">
        <f t="shared" si="7"/>
        <v>0</v>
      </c>
      <c r="O64" s="356"/>
    </row>
    <row r="65" spans="1:15" s="68" customFormat="1" ht="25.5" x14ac:dyDescent="0.25">
      <c r="A65" s="42">
        <f t="shared" si="4"/>
        <v>55</v>
      </c>
      <c r="B65" s="15"/>
      <c r="C65" s="314" t="s">
        <v>131</v>
      </c>
      <c r="D65" s="315" t="s">
        <v>25</v>
      </c>
      <c r="E65" s="316" t="s">
        <v>10</v>
      </c>
      <c r="F65" s="317">
        <v>2.5</v>
      </c>
      <c r="G65" s="318">
        <f>5.11*0.2*F65</f>
        <v>2.56</v>
      </c>
      <c r="H65" s="3"/>
      <c r="I65" s="69"/>
      <c r="J65" s="25">
        <f t="shared" si="5"/>
        <v>0</v>
      </c>
      <c r="K65" s="25">
        <f t="shared" si="6"/>
        <v>0</v>
      </c>
      <c r="L65" s="25"/>
      <c r="M65" s="26">
        <f t="shared" si="7"/>
        <v>0</v>
      </c>
      <c r="O65" s="356"/>
    </row>
    <row r="66" spans="1:15" s="68" customFormat="1" ht="25.5" x14ac:dyDescent="0.25">
      <c r="A66" s="42">
        <f t="shared" si="4"/>
        <v>56</v>
      </c>
      <c r="B66" s="15"/>
      <c r="C66" s="314" t="s">
        <v>132</v>
      </c>
      <c r="D66" s="315" t="s">
        <v>25</v>
      </c>
      <c r="E66" s="316" t="s">
        <v>10</v>
      </c>
      <c r="F66" s="317">
        <v>2.5</v>
      </c>
      <c r="G66" s="318">
        <f>1.4*0.2*F66</f>
        <v>0.7</v>
      </c>
      <c r="H66" s="3"/>
      <c r="I66" s="69"/>
      <c r="J66" s="25">
        <f t="shared" si="5"/>
        <v>0</v>
      </c>
      <c r="K66" s="25">
        <f t="shared" si="6"/>
        <v>0</v>
      </c>
      <c r="L66" s="25"/>
      <c r="M66" s="26">
        <f t="shared" si="7"/>
        <v>0</v>
      </c>
      <c r="O66" s="356"/>
    </row>
    <row r="67" spans="1:15" s="44" customFormat="1" ht="25.5" customHeight="1" x14ac:dyDescent="0.25">
      <c r="A67" s="305">
        <f>ROW()-10</f>
        <v>57</v>
      </c>
      <c r="B67" s="306" t="s">
        <v>113</v>
      </c>
      <c r="C67" s="307" t="s">
        <v>112</v>
      </c>
      <c r="D67" s="36"/>
      <c r="E67" s="308"/>
      <c r="F67" s="309"/>
      <c r="G67" s="310"/>
      <c r="H67" s="39"/>
      <c r="I67" s="37"/>
      <c r="J67" s="28"/>
      <c r="K67" s="28"/>
      <c r="L67" s="28"/>
      <c r="M67" s="40"/>
      <c r="O67" s="355"/>
    </row>
    <row r="68" spans="1:15" s="23" customFormat="1" ht="12.75" x14ac:dyDescent="0.25">
      <c r="A68" s="43">
        <f t="shared" ref="A68:A98" si="8">ROW()-10</f>
        <v>58</v>
      </c>
      <c r="B68" s="14" t="s">
        <v>113</v>
      </c>
      <c r="C68" s="8" t="s">
        <v>16</v>
      </c>
      <c r="D68" s="5" t="s">
        <v>22</v>
      </c>
      <c r="E68" s="6" t="s">
        <v>8</v>
      </c>
      <c r="F68" s="7">
        <v>1</v>
      </c>
      <c r="G68" s="313">
        <v>76.900000000000006</v>
      </c>
      <c r="H68" s="2"/>
      <c r="I68" s="4"/>
      <c r="J68" s="21">
        <f>I68</f>
        <v>0</v>
      </c>
      <c r="K68" s="21"/>
      <c r="L68" s="21">
        <f>G68*I68</f>
        <v>0</v>
      </c>
      <c r="M68" s="22">
        <f>L68</f>
        <v>0</v>
      </c>
      <c r="O68" s="354"/>
    </row>
    <row r="69" spans="1:15" s="68" customFormat="1" ht="25.5" x14ac:dyDescent="0.25">
      <c r="A69" s="41">
        <f t="shared" si="8"/>
        <v>59</v>
      </c>
      <c r="B69" s="38" t="s">
        <v>59</v>
      </c>
      <c r="C69" s="314" t="s">
        <v>58</v>
      </c>
      <c r="D69" s="315" t="s">
        <v>25</v>
      </c>
      <c r="E69" s="316" t="s">
        <v>8</v>
      </c>
      <c r="F69" s="317">
        <v>1.07</v>
      </c>
      <c r="G69" s="318">
        <f>G68*F69</f>
        <v>82.28</v>
      </c>
      <c r="H69" s="3"/>
      <c r="I69" s="24"/>
      <c r="J69" s="25">
        <f>H69</f>
        <v>0</v>
      </c>
      <c r="K69" s="25">
        <f>G69*H69</f>
        <v>0</v>
      </c>
      <c r="L69" s="25"/>
      <c r="M69" s="26">
        <f>K69</f>
        <v>0</v>
      </c>
      <c r="O69" s="356"/>
    </row>
    <row r="70" spans="1:15" s="68" customFormat="1" ht="25.5" x14ac:dyDescent="0.25">
      <c r="A70" s="42">
        <f t="shared" si="8"/>
        <v>60</v>
      </c>
      <c r="B70" s="15"/>
      <c r="C70" s="314" t="s">
        <v>9</v>
      </c>
      <c r="D70" s="315" t="s">
        <v>25</v>
      </c>
      <c r="E70" s="316" t="s">
        <v>10</v>
      </c>
      <c r="F70" s="317">
        <v>12</v>
      </c>
      <c r="G70" s="318">
        <f>G68*F70</f>
        <v>922.8</v>
      </c>
      <c r="H70" s="3"/>
      <c r="I70" s="24"/>
      <c r="J70" s="25">
        <f>H70</f>
        <v>0</v>
      </c>
      <c r="K70" s="25">
        <f>G70*H70</f>
        <v>0</v>
      </c>
      <c r="L70" s="25"/>
      <c r="M70" s="26">
        <f>K70</f>
        <v>0</v>
      </c>
      <c r="O70" s="356"/>
    </row>
    <row r="71" spans="1:15" s="68" customFormat="1" ht="25.5" x14ac:dyDescent="0.25">
      <c r="A71" s="42">
        <f t="shared" si="8"/>
        <v>61</v>
      </c>
      <c r="B71" s="15"/>
      <c r="C71" s="314" t="s">
        <v>11</v>
      </c>
      <c r="D71" s="315" t="s">
        <v>25</v>
      </c>
      <c r="E71" s="316" t="s">
        <v>10</v>
      </c>
      <c r="F71" s="317">
        <v>0.25</v>
      </c>
      <c r="G71" s="318">
        <f>G68*F71</f>
        <v>19.23</v>
      </c>
      <c r="H71" s="3"/>
      <c r="I71" s="24"/>
      <c r="J71" s="25">
        <f>H71</f>
        <v>0</v>
      </c>
      <c r="K71" s="25">
        <f>G71*H71</f>
        <v>0</v>
      </c>
      <c r="L71" s="25"/>
      <c r="M71" s="26">
        <f>K71</f>
        <v>0</v>
      </c>
      <c r="O71" s="356"/>
    </row>
    <row r="72" spans="1:15" s="23" customFormat="1" ht="25.5" x14ac:dyDescent="0.25">
      <c r="A72" s="43">
        <f t="shared" si="8"/>
        <v>62</v>
      </c>
      <c r="B72" s="14" t="s">
        <v>113</v>
      </c>
      <c r="C72" s="8" t="s">
        <v>45</v>
      </c>
      <c r="D72" s="5" t="s">
        <v>22</v>
      </c>
      <c r="E72" s="6" t="s">
        <v>12</v>
      </c>
      <c r="F72" s="7">
        <v>1</v>
      </c>
      <c r="G72" s="313">
        <v>44.7</v>
      </c>
      <c r="H72" s="2"/>
      <c r="I72" s="4"/>
      <c r="J72" s="21">
        <f>I72</f>
        <v>0</v>
      </c>
      <c r="K72" s="21"/>
      <c r="L72" s="21">
        <f>G72*I72</f>
        <v>0</v>
      </c>
      <c r="M72" s="22">
        <f>L72</f>
        <v>0</v>
      </c>
      <c r="O72" s="354"/>
    </row>
    <row r="73" spans="1:15" s="68" customFormat="1" ht="25.5" x14ac:dyDescent="0.25">
      <c r="A73" s="42">
        <f t="shared" si="8"/>
        <v>63</v>
      </c>
      <c r="B73" s="15" t="s">
        <v>61</v>
      </c>
      <c r="C73" s="314" t="s">
        <v>60</v>
      </c>
      <c r="D73" s="315" t="s">
        <v>25</v>
      </c>
      <c r="E73" s="316" t="s">
        <v>8</v>
      </c>
      <c r="F73" s="317">
        <v>1.07</v>
      </c>
      <c r="G73" s="318">
        <f>G72*0.3*F73</f>
        <v>14.35</v>
      </c>
      <c r="H73" s="3"/>
      <c r="I73" s="24"/>
      <c r="J73" s="25">
        <f>H73</f>
        <v>0</v>
      </c>
      <c r="K73" s="25">
        <f>G73*H73</f>
        <v>0</v>
      </c>
      <c r="L73" s="25"/>
      <c r="M73" s="26">
        <f>K73</f>
        <v>0</v>
      </c>
      <c r="O73" s="356"/>
    </row>
    <row r="74" spans="1:15" s="68" customFormat="1" ht="25.5" x14ac:dyDescent="0.25">
      <c r="A74" s="42">
        <f t="shared" si="8"/>
        <v>64</v>
      </c>
      <c r="B74" s="15"/>
      <c r="C74" s="314" t="s">
        <v>9</v>
      </c>
      <c r="D74" s="315" t="s">
        <v>25</v>
      </c>
      <c r="E74" s="316" t="s">
        <v>10</v>
      </c>
      <c r="F74" s="317">
        <v>12</v>
      </c>
      <c r="G74" s="318">
        <f>G72*0.3*F74</f>
        <v>160.91999999999999</v>
      </c>
      <c r="H74" s="3"/>
      <c r="I74" s="24"/>
      <c r="J74" s="25">
        <f>H74</f>
        <v>0</v>
      </c>
      <c r="K74" s="25">
        <f>G74*H74</f>
        <v>0</v>
      </c>
      <c r="L74" s="25"/>
      <c r="M74" s="26">
        <f>K74</f>
        <v>0</v>
      </c>
      <c r="O74" s="356"/>
    </row>
    <row r="75" spans="1:15" s="68" customFormat="1" ht="25.5" x14ac:dyDescent="0.25">
      <c r="A75" s="42">
        <f t="shared" si="8"/>
        <v>65</v>
      </c>
      <c r="B75" s="15"/>
      <c r="C75" s="314" t="s">
        <v>11</v>
      </c>
      <c r="D75" s="315" t="s">
        <v>25</v>
      </c>
      <c r="E75" s="316" t="s">
        <v>10</v>
      </c>
      <c r="F75" s="317">
        <v>0.25</v>
      </c>
      <c r="G75" s="318">
        <f>G72*0.3*F75</f>
        <v>3.35</v>
      </c>
      <c r="H75" s="3"/>
      <c r="I75" s="24"/>
      <c r="J75" s="25">
        <f>H75</f>
        <v>0</v>
      </c>
      <c r="K75" s="25">
        <f>G75*H75</f>
        <v>0</v>
      </c>
      <c r="L75" s="25"/>
      <c r="M75" s="26">
        <f>K75</f>
        <v>0</v>
      </c>
      <c r="O75" s="356"/>
    </row>
    <row r="76" spans="1:15" s="68" customFormat="1" ht="25.5" x14ac:dyDescent="0.25">
      <c r="A76" s="42">
        <f t="shared" si="8"/>
        <v>66</v>
      </c>
      <c r="B76" s="15"/>
      <c r="C76" s="314" t="s">
        <v>46</v>
      </c>
      <c r="D76" s="315" t="s">
        <v>25</v>
      </c>
      <c r="E76" s="316" t="s">
        <v>12</v>
      </c>
      <c r="F76" s="317">
        <v>1.1000000000000001</v>
      </c>
      <c r="G76" s="318">
        <f>G72*F76</f>
        <v>49.17</v>
      </c>
      <c r="H76" s="3"/>
      <c r="I76" s="24"/>
      <c r="J76" s="25">
        <f>H76</f>
        <v>0</v>
      </c>
      <c r="K76" s="25">
        <f>G76*H76</f>
        <v>0</v>
      </c>
      <c r="L76" s="25"/>
      <c r="M76" s="26">
        <f>K76</f>
        <v>0</v>
      </c>
      <c r="O76" s="356"/>
    </row>
    <row r="77" spans="1:15" s="23" customFormat="1" ht="25.5" x14ac:dyDescent="0.25">
      <c r="A77" s="43">
        <f t="shared" si="8"/>
        <v>67</v>
      </c>
      <c r="B77" s="14" t="s">
        <v>113</v>
      </c>
      <c r="C77" s="8" t="s">
        <v>114</v>
      </c>
      <c r="D77" s="5" t="s">
        <v>22</v>
      </c>
      <c r="E77" s="6" t="s">
        <v>8</v>
      </c>
      <c r="F77" s="7">
        <v>1</v>
      </c>
      <c r="G77" s="313">
        <f>6.8+3</f>
        <v>9.8000000000000007</v>
      </c>
      <c r="H77" s="2"/>
      <c r="I77" s="4"/>
      <c r="J77" s="21">
        <f>I77</f>
        <v>0</v>
      </c>
      <c r="K77" s="21"/>
      <c r="L77" s="21">
        <f>G77*I77</f>
        <v>0</v>
      </c>
      <c r="M77" s="22">
        <f>L77</f>
        <v>0</v>
      </c>
      <c r="O77" s="354"/>
    </row>
    <row r="78" spans="1:15" s="68" customFormat="1" ht="25.5" x14ac:dyDescent="0.25">
      <c r="A78" s="41">
        <f t="shared" si="8"/>
        <v>68</v>
      </c>
      <c r="B78" s="38" t="s">
        <v>64</v>
      </c>
      <c r="C78" s="314" t="s">
        <v>63</v>
      </c>
      <c r="D78" s="315" t="s">
        <v>25</v>
      </c>
      <c r="E78" s="316" t="s">
        <v>8</v>
      </c>
      <c r="F78" s="317">
        <v>1.07</v>
      </c>
      <c r="G78" s="318">
        <f>G77*F78</f>
        <v>10.49</v>
      </c>
      <c r="H78" s="3"/>
      <c r="I78" s="24"/>
      <c r="J78" s="25">
        <f>H78</f>
        <v>0</v>
      </c>
      <c r="K78" s="25">
        <f>G78*H78</f>
        <v>0</v>
      </c>
      <c r="L78" s="25"/>
      <c r="M78" s="26">
        <f>K78</f>
        <v>0</v>
      </c>
      <c r="O78" s="356"/>
    </row>
    <row r="79" spans="1:15" s="68" customFormat="1" ht="25.5" x14ac:dyDescent="0.25">
      <c r="A79" s="42">
        <f t="shared" si="8"/>
        <v>69</v>
      </c>
      <c r="B79" s="15"/>
      <c r="C79" s="314" t="s">
        <v>9</v>
      </c>
      <c r="D79" s="315" t="s">
        <v>25</v>
      </c>
      <c r="E79" s="316" t="s">
        <v>10</v>
      </c>
      <c r="F79" s="317">
        <v>12</v>
      </c>
      <c r="G79" s="318">
        <f>G77*F79</f>
        <v>117.6</v>
      </c>
      <c r="H79" s="3"/>
      <c r="I79" s="24"/>
      <c r="J79" s="25">
        <f>H79</f>
        <v>0</v>
      </c>
      <c r="K79" s="25">
        <f>G79*H79</f>
        <v>0</v>
      </c>
      <c r="L79" s="25"/>
      <c r="M79" s="26">
        <f>K79</f>
        <v>0</v>
      </c>
      <c r="O79" s="356"/>
    </row>
    <row r="80" spans="1:15" s="68" customFormat="1" ht="25.5" x14ac:dyDescent="0.25">
      <c r="A80" s="42">
        <f t="shared" si="8"/>
        <v>70</v>
      </c>
      <c r="B80" s="15"/>
      <c r="C80" s="314" t="s">
        <v>11</v>
      </c>
      <c r="D80" s="315" t="s">
        <v>25</v>
      </c>
      <c r="E80" s="316" t="s">
        <v>10</v>
      </c>
      <c r="F80" s="317">
        <v>0.25</v>
      </c>
      <c r="G80" s="318">
        <f>G77*F80</f>
        <v>2.4500000000000002</v>
      </c>
      <c r="H80" s="3"/>
      <c r="I80" s="24"/>
      <c r="J80" s="25">
        <f>H80</f>
        <v>0</v>
      </c>
      <c r="K80" s="25">
        <f>G80*H80</f>
        <v>0</v>
      </c>
      <c r="L80" s="25"/>
      <c r="M80" s="26">
        <f>K80</f>
        <v>0</v>
      </c>
      <c r="O80" s="356"/>
    </row>
    <row r="81" spans="1:15" s="23" customFormat="1" ht="25.5" x14ac:dyDescent="0.25">
      <c r="A81" s="43">
        <f t="shared" si="8"/>
        <v>71</v>
      </c>
      <c r="B81" s="14" t="s">
        <v>113</v>
      </c>
      <c r="C81" s="8" t="s">
        <v>116</v>
      </c>
      <c r="D81" s="5" t="s">
        <v>22</v>
      </c>
      <c r="E81" s="6" t="s">
        <v>8</v>
      </c>
      <c r="F81" s="7">
        <v>1</v>
      </c>
      <c r="G81" s="313">
        <f>7.3+7.88</f>
        <v>15.18</v>
      </c>
      <c r="H81" s="2"/>
      <c r="I81" s="4"/>
      <c r="J81" s="21">
        <f>I81</f>
        <v>0</v>
      </c>
      <c r="K81" s="21"/>
      <c r="L81" s="21">
        <f>G81*I81</f>
        <v>0</v>
      </c>
      <c r="M81" s="22">
        <f>L81</f>
        <v>0</v>
      </c>
      <c r="O81" s="354"/>
    </row>
    <row r="82" spans="1:15" s="68" customFormat="1" ht="25.5" x14ac:dyDescent="0.25">
      <c r="A82" s="42">
        <f t="shared" si="8"/>
        <v>72</v>
      </c>
      <c r="B82" s="38" t="s">
        <v>68</v>
      </c>
      <c r="C82" s="314" t="s">
        <v>67</v>
      </c>
      <c r="D82" s="315" t="s">
        <v>25</v>
      </c>
      <c r="E82" s="316" t="s">
        <v>8</v>
      </c>
      <c r="F82" s="317">
        <v>1.07</v>
      </c>
      <c r="G82" s="318">
        <f>G81*F82</f>
        <v>16.239999999999998</v>
      </c>
      <c r="H82" s="3"/>
      <c r="I82" s="24"/>
      <c r="J82" s="25">
        <f>H82</f>
        <v>0</v>
      </c>
      <c r="K82" s="25">
        <f>G82*H82</f>
        <v>0</v>
      </c>
      <c r="L82" s="25"/>
      <c r="M82" s="26">
        <f>K82</f>
        <v>0</v>
      </c>
      <c r="O82" s="356"/>
    </row>
    <row r="83" spans="1:15" s="68" customFormat="1" ht="25.5" x14ac:dyDescent="0.25">
      <c r="A83" s="42">
        <f t="shared" si="8"/>
        <v>73</v>
      </c>
      <c r="B83" s="15"/>
      <c r="C83" s="314" t="s">
        <v>9</v>
      </c>
      <c r="D83" s="315" t="s">
        <v>25</v>
      </c>
      <c r="E83" s="316" t="s">
        <v>10</v>
      </c>
      <c r="F83" s="317">
        <v>12</v>
      </c>
      <c r="G83" s="318">
        <f>G81*F83</f>
        <v>182.16</v>
      </c>
      <c r="H83" s="3"/>
      <c r="I83" s="24"/>
      <c r="J83" s="25">
        <f>H83</f>
        <v>0</v>
      </c>
      <c r="K83" s="25">
        <f>G83*H83</f>
        <v>0</v>
      </c>
      <c r="L83" s="25"/>
      <c r="M83" s="26">
        <f>K83</f>
        <v>0</v>
      </c>
      <c r="O83" s="356"/>
    </row>
    <row r="84" spans="1:15" s="68" customFormat="1" ht="25.5" x14ac:dyDescent="0.25">
      <c r="A84" s="42">
        <f t="shared" si="8"/>
        <v>74</v>
      </c>
      <c r="B84" s="15"/>
      <c r="C84" s="314" t="s">
        <v>11</v>
      </c>
      <c r="D84" s="315" t="s">
        <v>25</v>
      </c>
      <c r="E84" s="316" t="s">
        <v>10</v>
      </c>
      <c r="F84" s="317">
        <v>0.25</v>
      </c>
      <c r="G84" s="318">
        <f>G81*F84</f>
        <v>3.8</v>
      </c>
      <c r="H84" s="3"/>
      <c r="I84" s="24"/>
      <c r="J84" s="25">
        <f>H84</f>
        <v>0</v>
      </c>
      <c r="K84" s="25">
        <f>G84*H84</f>
        <v>0</v>
      </c>
      <c r="L84" s="25"/>
      <c r="M84" s="26">
        <f>K84</f>
        <v>0</v>
      </c>
      <c r="O84" s="356"/>
    </row>
    <row r="85" spans="1:15" s="23" customFormat="1" ht="25.5" x14ac:dyDescent="0.25">
      <c r="A85" s="43">
        <f t="shared" si="8"/>
        <v>75</v>
      </c>
      <c r="B85" s="14" t="s">
        <v>113</v>
      </c>
      <c r="C85" s="8" t="s">
        <v>115</v>
      </c>
      <c r="D85" s="5" t="s">
        <v>22</v>
      </c>
      <c r="E85" s="6" t="s">
        <v>8</v>
      </c>
      <c r="F85" s="7">
        <v>1</v>
      </c>
      <c r="G85" s="313">
        <f>3.9+3.61</f>
        <v>7.51</v>
      </c>
      <c r="H85" s="2"/>
      <c r="I85" s="4"/>
      <c r="J85" s="21">
        <f>I85</f>
        <v>0</v>
      </c>
      <c r="K85" s="21"/>
      <c r="L85" s="21">
        <f>G85*I85</f>
        <v>0</v>
      </c>
      <c r="M85" s="22">
        <f>L85</f>
        <v>0</v>
      </c>
      <c r="O85" s="354"/>
    </row>
    <row r="86" spans="1:15" s="68" customFormat="1" ht="25.5" x14ac:dyDescent="0.25">
      <c r="A86" s="42">
        <f t="shared" si="8"/>
        <v>76</v>
      </c>
      <c r="B86" s="38" t="s">
        <v>69</v>
      </c>
      <c r="C86" s="314" t="s">
        <v>67</v>
      </c>
      <c r="D86" s="315" t="s">
        <v>25</v>
      </c>
      <c r="E86" s="316" t="s">
        <v>8</v>
      </c>
      <c r="F86" s="317">
        <v>1.07</v>
      </c>
      <c r="G86" s="318">
        <f>G85*F86</f>
        <v>8.0399999999999991</v>
      </c>
      <c r="H86" s="3"/>
      <c r="I86" s="24"/>
      <c r="J86" s="25">
        <f>H86</f>
        <v>0</v>
      </c>
      <c r="K86" s="25">
        <f>G86*H86</f>
        <v>0</v>
      </c>
      <c r="L86" s="25"/>
      <c r="M86" s="26">
        <f>K86</f>
        <v>0</v>
      </c>
      <c r="O86" s="356"/>
    </row>
    <row r="87" spans="1:15" s="68" customFormat="1" ht="25.5" x14ac:dyDescent="0.25">
      <c r="A87" s="42">
        <f t="shared" si="8"/>
        <v>77</v>
      </c>
      <c r="B87" s="15"/>
      <c r="C87" s="314" t="s">
        <v>9</v>
      </c>
      <c r="D87" s="315" t="s">
        <v>25</v>
      </c>
      <c r="E87" s="316" t="s">
        <v>10</v>
      </c>
      <c r="F87" s="317">
        <v>12</v>
      </c>
      <c r="G87" s="318">
        <f>G85*F87</f>
        <v>90.12</v>
      </c>
      <c r="H87" s="3"/>
      <c r="I87" s="24"/>
      <c r="J87" s="25">
        <f>H87</f>
        <v>0</v>
      </c>
      <c r="K87" s="25">
        <f>G87*H87</f>
        <v>0</v>
      </c>
      <c r="L87" s="25"/>
      <c r="M87" s="26">
        <f>K87</f>
        <v>0</v>
      </c>
      <c r="O87" s="356"/>
    </row>
    <row r="88" spans="1:15" s="68" customFormat="1" ht="25.5" x14ac:dyDescent="0.25">
      <c r="A88" s="42">
        <f t="shared" si="8"/>
        <v>78</v>
      </c>
      <c r="B88" s="15"/>
      <c r="C88" s="314" t="s">
        <v>11</v>
      </c>
      <c r="D88" s="315" t="s">
        <v>25</v>
      </c>
      <c r="E88" s="316" t="s">
        <v>10</v>
      </c>
      <c r="F88" s="317">
        <v>0.25</v>
      </c>
      <c r="G88" s="318">
        <f>G85*F88</f>
        <v>1.88</v>
      </c>
      <c r="H88" s="3"/>
      <c r="I88" s="24"/>
      <c r="J88" s="25">
        <f>H88</f>
        <v>0</v>
      </c>
      <c r="K88" s="25">
        <f>G88*H88</f>
        <v>0</v>
      </c>
      <c r="L88" s="25"/>
      <c r="M88" s="26">
        <f>K88</f>
        <v>0</v>
      </c>
      <c r="O88" s="356"/>
    </row>
    <row r="89" spans="1:15" s="23" customFormat="1" ht="25.5" x14ac:dyDescent="0.25">
      <c r="A89" s="43">
        <f t="shared" si="8"/>
        <v>79</v>
      </c>
      <c r="B89" s="14" t="s">
        <v>113</v>
      </c>
      <c r="C89" s="8" t="s">
        <v>17</v>
      </c>
      <c r="D89" s="5" t="s">
        <v>22</v>
      </c>
      <c r="E89" s="6" t="s">
        <v>12</v>
      </c>
      <c r="F89" s="7">
        <v>1</v>
      </c>
      <c r="G89" s="313">
        <v>20</v>
      </c>
      <c r="H89" s="2"/>
      <c r="I89" s="4"/>
      <c r="J89" s="21">
        <f>I89</f>
        <v>0</v>
      </c>
      <c r="K89" s="21"/>
      <c r="L89" s="21">
        <f>G89*I89</f>
        <v>0</v>
      </c>
      <c r="M89" s="22">
        <f>L89</f>
        <v>0</v>
      </c>
      <c r="O89" s="354"/>
    </row>
    <row r="90" spans="1:15" s="68" customFormat="1" ht="25.5" x14ac:dyDescent="0.25">
      <c r="A90" s="42">
        <f t="shared" si="8"/>
        <v>80</v>
      </c>
      <c r="B90" s="15" t="s">
        <v>65</v>
      </c>
      <c r="C90" s="314" t="s">
        <v>66</v>
      </c>
      <c r="D90" s="315" t="s">
        <v>25</v>
      </c>
      <c r="E90" s="316" t="s">
        <v>8</v>
      </c>
      <c r="F90" s="317">
        <v>1.07</v>
      </c>
      <c r="G90" s="318">
        <f>G89*0.1*F90</f>
        <v>2.14</v>
      </c>
      <c r="H90" s="3"/>
      <c r="I90" s="24"/>
      <c r="J90" s="25">
        <f>H90</f>
        <v>0</v>
      </c>
      <c r="K90" s="25">
        <f>G90*H90</f>
        <v>0</v>
      </c>
      <c r="L90" s="25"/>
      <c r="M90" s="26">
        <f>K90</f>
        <v>0</v>
      </c>
      <c r="O90" s="356"/>
    </row>
    <row r="91" spans="1:15" s="68" customFormat="1" ht="25.5" x14ac:dyDescent="0.25">
      <c r="A91" s="42">
        <f t="shared" si="8"/>
        <v>81</v>
      </c>
      <c r="B91" s="15"/>
      <c r="C91" s="314" t="s">
        <v>9</v>
      </c>
      <c r="D91" s="315" t="s">
        <v>25</v>
      </c>
      <c r="E91" s="316" t="s">
        <v>10</v>
      </c>
      <c r="F91" s="317">
        <v>12</v>
      </c>
      <c r="G91" s="318">
        <f>G89*0.1*F91</f>
        <v>24</v>
      </c>
      <c r="H91" s="3"/>
      <c r="I91" s="24"/>
      <c r="J91" s="25">
        <f>H91</f>
        <v>0</v>
      </c>
      <c r="K91" s="25">
        <f>G91*H91</f>
        <v>0</v>
      </c>
      <c r="L91" s="25"/>
      <c r="M91" s="26">
        <f>K91</f>
        <v>0</v>
      </c>
      <c r="O91" s="356"/>
    </row>
    <row r="92" spans="1:15" s="68" customFormat="1" ht="25.5" x14ac:dyDescent="0.25">
      <c r="A92" s="42">
        <f t="shared" si="8"/>
        <v>82</v>
      </c>
      <c r="B92" s="15"/>
      <c r="C92" s="314" t="s">
        <v>11</v>
      </c>
      <c r="D92" s="315" t="s">
        <v>25</v>
      </c>
      <c r="E92" s="316" t="s">
        <v>10</v>
      </c>
      <c r="F92" s="317">
        <v>0.25</v>
      </c>
      <c r="G92" s="318">
        <f>G89*0.1*F92</f>
        <v>0.5</v>
      </c>
      <c r="H92" s="3"/>
      <c r="I92" s="24"/>
      <c r="J92" s="25">
        <f>H92</f>
        <v>0</v>
      </c>
      <c r="K92" s="25">
        <f>G92*H92</f>
        <v>0</v>
      </c>
      <c r="L92" s="25"/>
      <c r="M92" s="26">
        <f>K92</f>
        <v>0</v>
      </c>
      <c r="O92" s="356"/>
    </row>
    <row r="93" spans="1:15" s="68" customFormat="1" ht="25.5" x14ac:dyDescent="0.25">
      <c r="A93" s="42">
        <f t="shared" si="8"/>
        <v>83</v>
      </c>
      <c r="B93" s="15"/>
      <c r="C93" s="314" t="s">
        <v>46</v>
      </c>
      <c r="D93" s="315" t="s">
        <v>25</v>
      </c>
      <c r="E93" s="316" t="s">
        <v>12</v>
      </c>
      <c r="F93" s="317">
        <v>1.1000000000000001</v>
      </c>
      <c r="G93" s="318">
        <f>G89*F93</f>
        <v>22</v>
      </c>
      <c r="H93" s="3"/>
      <c r="I93" s="24"/>
      <c r="J93" s="25">
        <f>H93</f>
        <v>0</v>
      </c>
      <c r="K93" s="25">
        <f>G93*H93</f>
        <v>0</v>
      </c>
      <c r="L93" s="25"/>
      <c r="M93" s="26">
        <f>K93</f>
        <v>0</v>
      </c>
      <c r="O93" s="356"/>
    </row>
    <row r="94" spans="1:15" s="23" customFormat="1" ht="12.75" x14ac:dyDescent="0.25">
      <c r="A94" s="43">
        <f t="shared" si="8"/>
        <v>84</v>
      </c>
      <c r="B94" s="14" t="s">
        <v>113</v>
      </c>
      <c r="C94" s="8" t="s">
        <v>47</v>
      </c>
      <c r="D94" s="5" t="s">
        <v>22</v>
      </c>
      <c r="E94" s="6" t="s">
        <v>8</v>
      </c>
      <c r="F94" s="7">
        <v>1</v>
      </c>
      <c r="G94" s="313">
        <f>G95</f>
        <v>16.5</v>
      </c>
      <c r="H94" s="2"/>
      <c r="I94" s="4"/>
      <c r="J94" s="21">
        <f>I94</f>
        <v>0</v>
      </c>
      <c r="K94" s="21"/>
      <c r="L94" s="21">
        <f>G94*I94</f>
        <v>0</v>
      </c>
      <c r="M94" s="22">
        <f>L94</f>
        <v>0</v>
      </c>
      <c r="O94" s="354"/>
    </row>
    <row r="95" spans="1:15" s="68" customFormat="1" ht="25.5" x14ac:dyDescent="0.25">
      <c r="A95" s="42">
        <f t="shared" si="8"/>
        <v>85</v>
      </c>
      <c r="B95" s="15" t="s">
        <v>73</v>
      </c>
      <c r="C95" s="331" t="s">
        <v>70</v>
      </c>
      <c r="D95" s="315" t="s">
        <v>25</v>
      </c>
      <c r="E95" s="316" t="s">
        <v>8</v>
      </c>
      <c r="F95" s="317">
        <v>1</v>
      </c>
      <c r="G95" s="318">
        <f>6.1+10.4</f>
        <v>16.5</v>
      </c>
      <c r="H95" s="30"/>
      <c r="I95" s="24"/>
      <c r="J95" s="25">
        <f>H95</f>
        <v>0</v>
      </c>
      <c r="K95" s="25">
        <f>G95*H95</f>
        <v>0</v>
      </c>
      <c r="L95" s="25"/>
      <c r="M95" s="26">
        <f>K95</f>
        <v>0</v>
      </c>
      <c r="O95" s="356"/>
    </row>
    <row r="96" spans="1:15" s="68" customFormat="1" ht="25.5" x14ac:dyDescent="0.25">
      <c r="A96" s="42">
        <f t="shared" si="8"/>
        <v>86</v>
      </c>
      <c r="B96" s="15" t="s">
        <v>74</v>
      </c>
      <c r="C96" s="331" t="s">
        <v>71</v>
      </c>
      <c r="D96" s="315" t="s">
        <v>25</v>
      </c>
      <c r="E96" s="316" t="s">
        <v>24</v>
      </c>
      <c r="F96" s="317">
        <v>1.1000000000000001</v>
      </c>
      <c r="G96" s="318">
        <f>24.4*F96</f>
        <v>26.84</v>
      </c>
      <c r="H96" s="30"/>
      <c r="I96" s="24"/>
      <c r="J96" s="25">
        <f>H96</f>
        <v>0</v>
      </c>
      <c r="K96" s="25">
        <f>G96*H96</f>
        <v>0</v>
      </c>
      <c r="L96" s="25"/>
      <c r="M96" s="26">
        <f>K96</f>
        <v>0</v>
      </c>
      <c r="O96" s="356"/>
    </row>
    <row r="97" spans="1:15" s="23" customFormat="1" ht="12.75" x14ac:dyDescent="0.25">
      <c r="A97" s="43">
        <f t="shared" si="8"/>
        <v>87</v>
      </c>
      <c r="B97" s="14" t="s">
        <v>113</v>
      </c>
      <c r="C97" s="8" t="s">
        <v>48</v>
      </c>
      <c r="D97" s="5" t="s">
        <v>22</v>
      </c>
      <c r="E97" s="6" t="s">
        <v>8</v>
      </c>
      <c r="F97" s="7">
        <v>1</v>
      </c>
      <c r="G97" s="313">
        <f>G98</f>
        <v>5.3</v>
      </c>
      <c r="H97" s="2"/>
      <c r="I97" s="4"/>
      <c r="J97" s="21">
        <f>I97</f>
        <v>0</v>
      </c>
      <c r="K97" s="21"/>
      <c r="L97" s="21">
        <f>G97*I97</f>
        <v>0</v>
      </c>
      <c r="M97" s="22">
        <f>L97</f>
        <v>0</v>
      </c>
      <c r="O97" s="354"/>
    </row>
    <row r="98" spans="1:15" s="68" customFormat="1" ht="25.5" x14ac:dyDescent="0.2">
      <c r="A98" s="42">
        <f t="shared" si="8"/>
        <v>88</v>
      </c>
      <c r="B98" s="15" t="s">
        <v>83</v>
      </c>
      <c r="C98" s="332" t="s">
        <v>72</v>
      </c>
      <c r="D98" s="315" t="s">
        <v>25</v>
      </c>
      <c r="E98" s="316" t="s">
        <v>8</v>
      </c>
      <c r="F98" s="317">
        <v>1</v>
      </c>
      <c r="G98" s="318">
        <v>5.3</v>
      </c>
      <c r="H98" s="30"/>
      <c r="I98" s="24"/>
      <c r="J98" s="25">
        <f>H98</f>
        <v>0</v>
      </c>
      <c r="K98" s="25">
        <f>G98*H98</f>
        <v>0</v>
      </c>
      <c r="L98" s="25"/>
      <c r="M98" s="26">
        <f>K98</f>
        <v>0</v>
      </c>
      <c r="O98" s="356"/>
    </row>
    <row r="99" spans="1:15" s="23" customFormat="1" ht="12.75" x14ac:dyDescent="0.25">
      <c r="A99" s="297">
        <f>ROW()-10</f>
        <v>89</v>
      </c>
      <c r="B99" s="298" t="s">
        <v>84</v>
      </c>
      <c r="C99" s="299" t="s">
        <v>124</v>
      </c>
      <c r="D99" s="48"/>
      <c r="E99" s="300"/>
      <c r="F99" s="301"/>
      <c r="G99" s="302"/>
      <c r="H99" s="49"/>
      <c r="I99" s="50"/>
      <c r="J99" s="51"/>
      <c r="K99" s="51"/>
      <c r="L99" s="51"/>
      <c r="M99" s="52"/>
      <c r="O99" s="354"/>
    </row>
    <row r="100" spans="1:15" s="44" customFormat="1" ht="25.5" customHeight="1" x14ac:dyDescent="0.25">
      <c r="A100" s="305">
        <f>ROW()-10</f>
        <v>90</v>
      </c>
      <c r="B100" s="306" t="s">
        <v>87</v>
      </c>
      <c r="C100" s="307" t="s">
        <v>88</v>
      </c>
      <c r="D100" s="36"/>
      <c r="E100" s="308"/>
      <c r="F100" s="309"/>
      <c r="G100" s="310"/>
      <c r="H100" s="39"/>
      <c r="I100" s="37"/>
      <c r="J100" s="28"/>
      <c r="K100" s="28"/>
      <c r="L100" s="28"/>
      <c r="M100" s="40"/>
      <c r="O100" s="355"/>
    </row>
    <row r="101" spans="1:15" s="23" customFormat="1" ht="12.75" x14ac:dyDescent="0.25">
      <c r="A101" s="43">
        <f t="shared" ref="A101:A108" si="9">ROW()-10</f>
        <v>91</v>
      </c>
      <c r="B101" s="14" t="s">
        <v>99</v>
      </c>
      <c r="C101" s="55" t="s">
        <v>100</v>
      </c>
      <c r="D101" s="5" t="s">
        <v>22</v>
      </c>
      <c r="E101" s="6" t="s">
        <v>8</v>
      </c>
      <c r="F101" s="7">
        <v>1</v>
      </c>
      <c r="G101" s="313">
        <f>(68.5+14.2)*15</f>
        <v>1240.5</v>
      </c>
      <c r="H101" s="2"/>
      <c r="I101" s="4"/>
      <c r="J101" s="21">
        <f>I101</f>
        <v>0</v>
      </c>
      <c r="K101" s="21"/>
      <c r="L101" s="21">
        <f>G101*I101</f>
        <v>0</v>
      </c>
      <c r="M101" s="22">
        <f>L101</f>
        <v>0</v>
      </c>
      <c r="O101" s="354"/>
    </row>
    <row r="102" spans="1:15" s="68" customFormat="1" ht="25.5" x14ac:dyDescent="0.25">
      <c r="A102" s="42">
        <f t="shared" si="9"/>
        <v>92</v>
      </c>
      <c r="B102" s="15"/>
      <c r="C102" s="326" t="s">
        <v>13</v>
      </c>
      <c r="D102" s="315" t="s">
        <v>25</v>
      </c>
      <c r="E102" s="316" t="s">
        <v>14</v>
      </c>
      <c r="F102" s="317">
        <v>0.1</v>
      </c>
      <c r="G102" s="318">
        <f>G101*F102</f>
        <v>124.05</v>
      </c>
      <c r="H102" s="3"/>
      <c r="I102" s="24"/>
      <c r="J102" s="25">
        <f>H102</f>
        <v>0</v>
      </c>
      <c r="K102" s="25">
        <f>G102*H102</f>
        <v>0</v>
      </c>
      <c r="L102" s="25"/>
      <c r="M102" s="26">
        <f>K102</f>
        <v>0</v>
      </c>
      <c r="O102" s="356"/>
    </row>
    <row r="103" spans="1:15" s="68" customFormat="1" ht="25.5" x14ac:dyDescent="0.25">
      <c r="A103" s="42">
        <f t="shared" si="9"/>
        <v>93</v>
      </c>
      <c r="B103" s="15"/>
      <c r="C103" s="326" t="s">
        <v>101</v>
      </c>
      <c r="D103" s="315" t="s">
        <v>25</v>
      </c>
      <c r="E103" s="316" t="s">
        <v>10</v>
      </c>
      <c r="F103" s="317">
        <v>1.2</v>
      </c>
      <c r="G103" s="318">
        <f>G101*F103</f>
        <v>1488.6</v>
      </c>
      <c r="H103" s="3"/>
      <c r="I103" s="24"/>
      <c r="J103" s="25">
        <f>H103</f>
        <v>0</v>
      </c>
      <c r="K103" s="25">
        <f>G103*H103</f>
        <v>0</v>
      </c>
      <c r="L103" s="25"/>
      <c r="M103" s="26">
        <f>K103</f>
        <v>0</v>
      </c>
      <c r="O103" s="356"/>
    </row>
    <row r="104" spans="1:15" s="68" customFormat="1" ht="25.5" x14ac:dyDescent="0.25">
      <c r="A104" s="42">
        <f t="shared" si="9"/>
        <v>94</v>
      </c>
      <c r="B104" s="15"/>
      <c r="C104" s="314" t="s">
        <v>23</v>
      </c>
      <c r="D104" s="315" t="s">
        <v>25</v>
      </c>
      <c r="E104" s="316" t="s">
        <v>10</v>
      </c>
      <c r="F104" s="317">
        <v>1.7</v>
      </c>
      <c r="G104" s="318">
        <f>G101*F104</f>
        <v>2108.85</v>
      </c>
      <c r="H104" s="3"/>
      <c r="I104" s="24"/>
      <c r="J104" s="25">
        <f>H104</f>
        <v>0</v>
      </c>
      <c r="K104" s="25">
        <f>G104*H104</f>
        <v>0</v>
      </c>
      <c r="L104" s="25"/>
      <c r="M104" s="26">
        <f>K104</f>
        <v>0</v>
      </c>
      <c r="O104" s="356"/>
    </row>
    <row r="105" spans="1:15" s="23" customFormat="1" ht="38.25" x14ac:dyDescent="0.25">
      <c r="A105" s="43">
        <f t="shared" si="9"/>
        <v>95</v>
      </c>
      <c r="B105" s="14" t="s">
        <v>102</v>
      </c>
      <c r="C105" s="8" t="s">
        <v>103</v>
      </c>
      <c r="D105" s="5" t="s">
        <v>22</v>
      </c>
      <c r="E105" s="6" t="s">
        <v>8</v>
      </c>
      <c r="F105" s="7">
        <v>1</v>
      </c>
      <c r="G105" s="313">
        <f>G101</f>
        <v>1240.5</v>
      </c>
      <c r="H105" s="2"/>
      <c r="I105" s="4"/>
      <c r="J105" s="21">
        <f>I105</f>
        <v>0</v>
      </c>
      <c r="K105" s="21"/>
      <c r="L105" s="21">
        <f>G105*I105</f>
        <v>0</v>
      </c>
      <c r="M105" s="22">
        <f>L105</f>
        <v>0</v>
      </c>
      <c r="O105" s="354"/>
    </row>
    <row r="106" spans="1:15" s="68" customFormat="1" ht="25.5" x14ac:dyDescent="0.25">
      <c r="A106" s="42">
        <f t="shared" si="9"/>
        <v>96</v>
      </c>
      <c r="B106" s="15"/>
      <c r="C106" s="314" t="s">
        <v>13</v>
      </c>
      <c r="D106" s="315" t="s">
        <v>25</v>
      </c>
      <c r="E106" s="316" t="s">
        <v>14</v>
      </c>
      <c r="F106" s="317">
        <v>0.1</v>
      </c>
      <c r="G106" s="318">
        <f>G105*F106</f>
        <v>124.05</v>
      </c>
      <c r="H106" s="3"/>
      <c r="I106" s="24"/>
      <c r="J106" s="25">
        <f>H106</f>
        <v>0</v>
      </c>
      <c r="K106" s="25">
        <f>G106*H106</f>
        <v>0</v>
      </c>
      <c r="L106" s="25"/>
      <c r="M106" s="26">
        <f>K106</f>
        <v>0</v>
      </c>
      <c r="O106" s="356"/>
    </row>
    <row r="107" spans="1:15" s="68" customFormat="1" ht="25.5" x14ac:dyDescent="0.25">
      <c r="A107" s="42">
        <f t="shared" si="9"/>
        <v>97</v>
      </c>
      <c r="B107" s="38"/>
      <c r="C107" s="314" t="s">
        <v>118</v>
      </c>
      <c r="D107" s="315" t="s">
        <v>25</v>
      </c>
      <c r="E107" s="316" t="s">
        <v>14</v>
      </c>
      <c r="F107" s="317">
        <v>0.3</v>
      </c>
      <c r="G107" s="318">
        <f>68.5*15*F107</f>
        <v>308.25</v>
      </c>
      <c r="H107" s="3"/>
      <c r="I107" s="24"/>
      <c r="J107" s="25">
        <f>H107</f>
        <v>0</v>
      </c>
      <c r="K107" s="25">
        <f>G107*H107</f>
        <v>0</v>
      </c>
      <c r="L107" s="25"/>
      <c r="M107" s="26">
        <f>K107</f>
        <v>0</v>
      </c>
      <c r="O107" s="356"/>
    </row>
    <row r="108" spans="1:15" s="68" customFormat="1" ht="25.5" x14ac:dyDescent="0.25">
      <c r="A108" s="42">
        <f t="shared" si="9"/>
        <v>98</v>
      </c>
      <c r="B108" s="38"/>
      <c r="C108" s="314" t="s">
        <v>122</v>
      </c>
      <c r="D108" s="315" t="s">
        <v>25</v>
      </c>
      <c r="E108" s="316" t="s">
        <v>14</v>
      </c>
      <c r="F108" s="317">
        <v>0.3</v>
      </c>
      <c r="G108" s="318">
        <f>14.2*15*F108</f>
        <v>63.9</v>
      </c>
      <c r="H108" s="3"/>
      <c r="I108" s="24"/>
      <c r="J108" s="25">
        <f>H108</f>
        <v>0</v>
      </c>
      <c r="K108" s="25">
        <f>G108*H108</f>
        <v>0</v>
      </c>
      <c r="L108" s="25"/>
      <c r="M108" s="26">
        <f>K108</f>
        <v>0</v>
      </c>
      <c r="O108" s="356"/>
    </row>
    <row r="109" spans="1:15" s="44" customFormat="1" ht="25.5" customHeight="1" x14ac:dyDescent="0.25">
      <c r="A109" s="256">
        <f>ROW()-10</f>
        <v>99</v>
      </c>
      <c r="B109" s="306" t="s">
        <v>110</v>
      </c>
      <c r="C109" s="307" t="s">
        <v>109</v>
      </c>
      <c r="D109" s="36"/>
      <c r="E109" s="308"/>
      <c r="F109" s="309"/>
      <c r="G109" s="310"/>
      <c r="H109" s="39"/>
      <c r="I109" s="37"/>
      <c r="J109" s="28"/>
      <c r="K109" s="28"/>
      <c r="L109" s="28"/>
      <c r="M109" s="40"/>
      <c r="O109" s="355"/>
    </row>
    <row r="110" spans="1:15" s="27" customFormat="1" ht="12.75" x14ac:dyDescent="0.25">
      <c r="A110" s="43">
        <f t="shared" ref="A110:A129" si="10">ROW()-10</f>
        <v>100</v>
      </c>
      <c r="B110" s="14" t="s">
        <v>110</v>
      </c>
      <c r="C110" s="55" t="s">
        <v>21</v>
      </c>
      <c r="D110" s="5" t="s">
        <v>22</v>
      </c>
      <c r="E110" s="6" t="s">
        <v>8</v>
      </c>
      <c r="F110" s="7">
        <v>1</v>
      </c>
      <c r="G110" s="18">
        <f>207.82*15</f>
        <v>3117.3</v>
      </c>
      <c r="H110" s="2"/>
      <c r="I110" s="4"/>
      <c r="J110" s="21">
        <f>I110</f>
        <v>0</v>
      </c>
      <c r="K110" s="21"/>
      <c r="L110" s="21">
        <f>G110*I110</f>
        <v>0</v>
      </c>
      <c r="M110" s="22">
        <f>L110</f>
        <v>0</v>
      </c>
      <c r="O110" s="357"/>
    </row>
    <row r="111" spans="1:15" s="27" customFormat="1" ht="25.5" x14ac:dyDescent="0.25">
      <c r="A111" s="42">
        <f t="shared" si="10"/>
        <v>101</v>
      </c>
      <c r="B111" s="15"/>
      <c r="C111" s="326" t="s">
        <v>13</v>
      </c>
      <c r="D111" s="315" t="s">
        <v>25</v>
      </c>
      <c r="E111" s="316" t="s">
        <v>14</v>
      </c>
      <c r="F111" s="317">
        <v>0.1</v>
      </c>
      <c r="G111" s="9">
        <f>G110*F111</f>
        <v>311.73</v>
      </c>
      <c r="H111" s="3"/>
      <c r="I111" s="24"/>
      <c r="J111" s="25">
        <f>H111</f>
        <v>0</v>
      </c>
      <c r="K111" s="25">
        <f>G111*H111</f>
        <v>0</v>
      </c>
      <c r="L111" s="25"/>
      <c r="M111" s="26">
        <f>K111</f>
        <v>0</v>
      </c>
      <c r="O111" s="357"/>
    </row>
    <row r="112" spans="1:15" s="27" customFormat="1" ht="25.5" x14ac:dyDescent="0.25">
      <c r="A112" s="42">
        <f t="shared" si="10"/>
        <v>102</v>
      </c>
      <c r="B112" s="15"/>
      <c r="C112" s="326" t="s">
        <v>52</v>
      </c>
      <c r="D112" s="315" t="s">
        <v>25</v>
      </c>
      <c r="E112" s="316" t="s">
        <v>10</v>
      </c>
      <c r="F112" s="317">
        <v>1.2</v>
      </c>
      <c r="G112" s="9">
        <f>G110*F112</f>
        <v>3740.76</v>
      </c>
      <c r="H112" s="3"/>
      <c r="I112" s="53"/>
      <c r="J112" s="25">
        <f>H112</f>
        <v>0</v>
      </c>
      <c r="K112" s="25">
        <f>G112*H112</f>
        <v>0</v>
      </c>
      <c r="L112" s="25"/>
      <c r="M112" s="26">
        <f>K112</f>
        <v>0</v>
      </c>
      <c r="O112" s="357"/>
    </row>
    <row r="113" spans="1:15" s="27" customFormat="1" ht="25.5" x14ac:dyDescent="0.25">
      <c r="A113" s="42">
        <f t="shared" si="10"/>
        <v>103</v>
      </c>
      <c r="B113" s="15"/>
      <c r="C113" s="314" t="s">
        <v>23</v>
      </c>
      <c r="D113" s="315" t="s">
        <v>25</v>
      </c>
      <c r="E113" s="316" t="s">
        <v>10</v>
      </c>
      <c r="F113" s="317">
        <v>1.7</v>
      </c>
      <c r="G113" s="9">
        <f>G110*F113</f>
        <v>5299.41</v>
      </c>
      <c r="H113" s="3"/>
      <c r="I113" s="24"/>
      <c r="J113" s="25">
        <f>H113</f>
        <v>0</v>
      </c>
      <c r="K113" s="25">
        <f>G113*H113</f>
        <v>0</v>
      </c>
      <c r="L113" s="25"/>
      <c r="M113" s="26">
        <f>K113</f>
        <v>0</v>
      </c>
      <c r="O113" s="357"/>
    </row>
    <row r="114" spans="1:15" s="27" customFormat="1" ht="45" customHeight="1" x14ac:dyDescent="0.25">
      <c r="A114" s="43">
        <f t="shared" si="10"/>
        <v>104</v>
      </c>
      <c r="B114" s="14" t="s">
        <v>110</v>
      </c>
      <c r="C114" s="54" t="s">
        <v>18</v>
      </c>
      <c r="D114" s="5" t="s">
        <v>22</v>
      </c>
      <c r="E114" s="6" t="s">
        <v>8</v>
      </c>
      <c r="F114" s="7">
        <v>1</v>
      </c>
      <c r="G114" s="18">
        <f>25.04*15</f>
        <v>375.6</v>
      </c>
      <c r="H114" s="2"/>
      <c r="I114" s="4"/>
      <c r="J114" s="21">
        <f>I114</f>
        <v>0</v>
      </c>
      <c r="K114" s="21"/>
      <c r="L114" s="21">
        <f>G114*I114</f>
        <v>0</v>
      </c>
      <c r="M114" s="22">
        <f>L114</f>
        <v>0</v>
      </c>
      <c r="O114" s="357"/>
    </row>
    <row r="115" spans="1:15" s="68" customFormat="1" ht="25.5" x14ac:dyDescent="0.25">
      <c r="A115" s="42">
        <f t="shared" si="10"/>
        <v>105</v>
      </c>
      <c r="B115" s="15"/>
      <c r="C115" s="314" t="s">
        <v>58</v>
      </c>
      <c r="D115" s="315" t="s">
        <v>25</v>
      </c>
      <c r="E115" s="316" t="s">
        <v>8</v>
      </c>
      <c r="F115" s="317">
        <v>1.07</v>
      </c>
      <c r="G115" s="318">
        <f>G114*F115</f>
        <v>401.89</v>
      </c>
      <c r="H115" s="3"/>
      <c r="I115" s="24"/>
      <c r="J115" s="25">
        <f>H115</f>
        <v>0</v>
      </c>
      <c r="K115" s="25">
        <f>G115*H115</f>
        <v>0</v>
      </c>
      <c r="L115" s="25"/>
      <c r="M115" s="26">
        <f>K115</f>
        <v>0</v>
      </c>
      <c r="O115" s="356"/>
    </row>
    <row r="116" spans="1:15" s="68" customFormat="1" ht="25.5" x14ac:dyDescent="0.25">
      <c r="A116" s="42">
        <f t="shared" si="10"/>
        <v>106</v>
      </c>
      <c r="B116" s="15"/>
      <c r="C116" s="314" t="s">
        <v>9</v>
      </c>
      <c r="D116" s="315" t="s">
        <v>25</v>
      </c>
      <c r="E116" s="316" t="s">
        <v>10</v>
      </c>
      <c r="F116" s="317">
        <v>12</v>
      </c>
      <c r="G116" s="318">
        <f>G114*0.3*F116</f>
        <v>1352.16</v>
      </c>
      <c r="H116" s="3"/>
      <c r="I116" s="24"/>
      <c r="J116" s="25">
        <f>H116</f>
        <v>0</v>
      </c>
      <c r="K116" s="25">
        <f>G116*H116</f>
        <v>0</v>
      </c>
      <c r="L116" s="25"/>
      <c r="M116" s="26">
        <f>K116</f>
        <v>0</v>
      </c>
      <c r="O116" s="356"/>
    </row>
    <row r="117" spans="1:15" s="68" customFormat="1" ht="25.5" x14ac:dyDescent="0.25">
      <c r="A117" s="42">
        <f t="shared" si="10"/>
        <v>107</v>
      </c>
      <c r="B117" s="15"/>
      <c r="C117" s="314" t="s">
        <v>11</v>
      </c>
      <c r="D117" s="315" t="s">
        <v>25</v>
      </c>
      <c r="E117" s="316" t="s">
        <v>10</v>
      </c>
      <c r="F117" s="317">
        <v>0.25</v>
      </c>
      <c r="G117" s="318">
        <f>G114*0.3*F117</f>
        <v>28.17</v>
      </c>
      <c r="H117" s="3"/>
      <c r="I117" s="24"/>
      <c r="J117" s="25">
        <f>H117</f>
        <v>0</v>
      </c>
      <c r="K117" s="25">
        <f>G117*H117</f>
        <v>0</v>
      </c>
      <c r="L117" s="25"/>
      <c r="M117" s="26">
        <f>K117</f>
        <v>0</v>
      </c>
      <c r="O117" s="356"/>
    </row>
    <row r="118" spans="1:15" s="68" customFormat="1" ht="25.5" x14ac:dyDescent="0.25">
      <c r="A118" s="42">
        <f t="shared" si="10"/>
        <v>108</v>
      </c>
      <c r="B118" s="15"/>
      <c r="C118" s="314" t="s">
        <v>46</v>
      </c>
      <c r="D118" s="315" t="s">
        <v>25</v>
      </c>
      <c r="E118" s="316" t="s">
        <v>12</v>
      </c>
      <c r="F118" s="317">
        <v>1.1000000000000001</v>
      </c>
      <c r="G118" s="318">
        <f>10.75*15*F118</f>
        <v>177.38</v>
      </c>
      <c r="H118" s="3"/>
      <c r="I118" s="24"/>
      <c r="J118" s="25">
        <f>H118</f>
        <v>0</v>
      </c>
      <c r="K118" s="25">
        <f>G118*H118</f>
        <v>0</v>
      </c>
      <c r="L118" s="25"/>
      <c r="M118" s="26">
        <f>K118</f>
        <v>0</v>
      </c>
      <c r="O118" s="356"/>
    </row>
    <row r="119" spans="1:15" s="27" customFormat="1" ht="12.75" x14ac:dyDescent="0.25">
      <c r="A119" s="43">
        <f t="shared" si="10"/>
        <v>109</v>
      </c>
      <c r="B119" s="14" t="s">
        <v>110</v>
      </c>
      <c r="C119" s="8" t="s">
        <v>19</v>
      </c>
      <c r="D119" s="5" t="s">
        <v>22</v>
      </c>
      <c r="E119" s="6" t="s">
        <v>8</v>
      </c>
      <c r="F119" s="7">
        <v>1</v>
      </c>
      <c r="G119" s="18">
        <f>G110</f>
        <v>3117.3</v>
      </c>
      <c r="H119" s="2"/>
      <c r="I119" s="4"/>
      <c r="J119" s="21">
        <f>I119</f>
        <v>0</v>
      </c>
      <c r="K119" s="21"/>
      <c r="L119" s="21">
        <f>G119*I119</f>
        <v>0</v>
      </c>
      <c r="M119" s="22">
        <f>L119</f>
        <v>0</v>
      </c>
      <c r="O119" s="357"/>
    </row>
    <row r="120" spans="1:15" s="68" customFormat="1" ht="25.5" x14ac:dyDescent="0.25">
      <c r="A120" s="42">
        <f t="shared" si="10"/>
        <v>110</v>
      </c>
      <c r="B120" s="15"/>
      <c r="C120" s="314" t="s">
        <v>13</v>
      </c>
      <c r="D120" s="315" t="s">
        <v>25</v>
      </c>
      <c r="E120" s="316" t="s">
        <v>14</v>
      </c>
      <c r="F120" s="317">
        <v>0.1</v>
      </c>
      <c r="G120" s="318">
        <f>G119*F120</f>
        <v>311.73</v>
      </c>
      <c r="H120" s="3"/>
      <c r="I120" s="24"/>
      <c r="J120" s="25">
        <f>H120</f>
        <v>0</v>
      </c>
      <c r="K120" s="25">
        <f>G120*H120</f>
        <v>0</v>
      </c>
      <c r="L120" s="25"/>
      <c r="M120" s="26">
        <f>K120</f>
        <v>0</v>
      </c>
      <c r="O120" s="356"/>
    </row>
    <row r="121" spans="1:15" s="68" customFormat="1" ht="25.5" x14ac:dyDescent="0.25">
      <c r="A121" s="42">
        <f t="shared" si="10"/>
        <v>111</v>
      </c>
      <c r="B121" s="15"/>
      <c r="C121" s="314" t="s">
        <v>104</v>
      </c>
      <c r="D121" s="315" t="s">
        <v>25</v>
      </c>
      <c r="E121" s="316" t="s">
        <v>14</v>
      </c>
      <c r="F121" s="317">
        <v>0.3</v>
      </c>
      <c r="G121" s="318">
        <f>183.59*15*F121</f>
        <v>826.16</v>
      </c>
      <c r="H121" s="3"/>
      <c r="I121" s="24"/>
      <c r="J121" s="25">
        <f>H121</f>
        <v>0</v>
      </c>
      <c r="K121" s="25">
        <f>G121*H121</f>
        <v>0</v>
      </c>
      <c r="L121" s="25"/>
      <c r="M121" s="26">
        <f>K121</f>
        <v>0</v>
      </c>
      <c r="O121" s="356"/>
    </row>
    <row r="122" spans="1:15" s="68" customFormat="1" ht="25.5" x14ac:dyDescent="0.25">
      <c r="A122" s="42">
        <f t="shared" si="10"/>
        <v>112</v>
      </c>
      <c r="B122" s="15"/>
      <c r="C122" s="314" t="s">
        <v>105</v>
      </c>
      <c r="D122" s="315" t="s">
        <v>25</v>
      </c>
      <c r="E122" s="316" t="s">
        <v>14</v>
      </c>
      <c r="F122" s="317">
        <v>0.3</v>
      </c>
      <c r="G122" s="318">
        <f>17.32*15*F122</f>
        <v>77.94</v>
      </c>
      <c r="H122" s="3"/>
      <c r="I122" s="24"/>
      <c r="J122" s="25">
        <f>H122</f>
        <v>0</v>
      </c>
      <c r="K122" s="25">
        <f>G122*H122</f>
        <v>0</v>
      </c>
      <c r="L122" s="25"/>
      <c r="M122" s="26">
        <f>K122</f>
        <v>0</v>
      </c>
      <c r="O122" s="356"/>
    </row>
    <row r="123" spans="1:15" s="68" customFormat="1" ht="25.5" x14ac:dyDescent="0.25">
      <c r="A123" s="42">
        <f t="shared" si="10"/>
        <v>113</v>
      </c>
      <c r="B123" s="15"/>
      <c r="C123" s="314" t="s">
        <v>106</v>
      </c>
      <c r="D123" s="315" t="s">
        <v>25</v>
      </c>
      <c r="E123" s="316" t="s">
        <v>14</v>
      </c>
      <c r="F123" s="317">
        <v>0.3</v>
      </c>
      <c r="G123" s="318">
        <f>6.91*15*F123</f>
        <v>31.1</v>
      </c>
      <c r="H123" s="3"/>
      <c r="I123" s="24"/>
      <c r="J123" s="25">
        <f>H123</f>
        <v>0</v>
      </c>
      <c r="K123" s="25">
        <f>G123*H123</f>
        <v>0</v>
      </c>
      <c r="L123" s="25"/>
      <c r="M123" s="26">
        <f>K123</f>
        <v>0</v>
      </c>
      <c r="O123" s="356"/>
    </row>
    <row r="124" spans="1:15" s="27" customFormat="1" ht="21.75" customHeight="1" x14ac:dyDescent="0.25">
      <c r="A124" s="43">
        <f t="shared" si="10"/>
        <v>114</v>
      </c>
      <c r="B124" s="14" t="s">
        <v>110</v>
      </c>
      <c r="C124" s="8" t="s">
        <v>20</v>
      </c>
      <c r="D124" s="5" t="s">
        <v>22</v>
      </c>
      <c r="E124" s="6" t="s">
        <v>24</v>
      </c>
      <c r="F124" s="7">
        <v>1</v>
      </c>
      <c r="G124" s="18">
        <f>78.72*15</f>
        <v>1180.8</v>
      </c>
      <c r="H124" s="2"/>
      <c r="I124" s="4"/>
      <c r="J124" s="21">
        <f>I124</f>
        <v>0</v>
      </c>
      <c r="K124" s="21"/>
      <c r="L124" s="21">
        <f>G124*I124</f>
        <v>0</v>
      </c>
      <c r="M124" s="22">
        <f>L124</f>
        <v>0</v>
      </c>
      <c r="O124" s="357"/>
    </row>
    <row r="125" spans="1:15" s="27" customFormat="1" ht="25.5" customHeight="1" x14ac:dyDescent="0.25">
      <c r="A125" s="42">
        <f t="shared" si="10"/>
        <v>115</v>
      </c>
      <c r="B125" s="15"/>
      <c r="C125" s="314" t="s">
        <v>32</v>
      </c>
      <c r="D125" s="315" t="s">
        <v>25</v>
      </c>
      <c r="E125" s="328" t="s">
        <v>10</v>
      </c>
      <c r="F125" s="329">
        <v>0.05</v>
      </c>
      <c r="G125" s="318">
        <f>G124*0.2*F125</f>
        <v>11.81</v>
      </c>
      <c r="H125" s="3"/>
      <c r="I125" s="24"/>
      <c r="J125" s="25">
        <f>H125</f>
        <v>0</v>
      </c>
      <c r="K125" s="25">
        <f>G125*H125</f>
        <v>0</v>
      </c>
      <c r="L125" s="25"/>
      <c r="M125" s="26">
        <f>K125</f>
        <v>0</v>
      </c>
      <c r="O125" s="357"/>
    </row>
    <row r="126" spans="1:15" s="27" customFormat="1" ht="25.5" x14ac:dyDescent="0.25">
      <c r="A126" s="42">
        <f t="shared" si="10"/>
        <v>116</v>
      </c>
      <c r="B126" s="15"/>
      <c r="C126" s="314" t="s">
        <v>33</v>
      </c>
      <c r="D126" s="315" t="s">
        <v>25</v>
      </c>
      <c r="E126" s="328" t="s">
        <v>10</v>
      </c>
      <c r="F126" s="329">
        <v>10</v>
      </c>
      <c r="G126" s="318">
        <f>G124*0.2*F126</f>
        <v>2361.6</v>
      </c>
      <c r="H126" s="3"/>
      <c r="I126" s="24"/>
      <c r="J126" s="25">
        <f>H126</f>
        <v>0</v>
      </c>
      <c r="K126" s="25">
        <f>G126*H126</f>
        <v>0</v>
      </c>
      <c r="L126" s="25"/>
      <c r="M126" s="26">
        <f>K126</f>
        <v>0</v>
      </c>
      <c r="O126" s="357"/>
    </row>
    <row r="127" spans="1:15" s="27" customFormat="1" ht="25.5" x14ac:dyDescent="0.25">
      <c r="A127" s="42">
        <f t="shared" si="10"/>
        <v>117</v>
      </c>
      <c r="B127" s="15"/>
      <c r="C127" s="314" t="s">
        <v>13</v>
      </c>
      <c r="D127" s="315" t="s">
        <v>25</v>
      </c>
      <c r="E127" s="316" t="s">
        <v>14</v>
      </c>
      <c r="F127" s="317">
        <v>0.1</v>
      </c>
      <c r="G127" s="318">
        <f>G124*0.2*F127</f>
        <v>23.62</v>
      </c>
      <c r="H127" s="3"/>
      <c r="I127" s="24"/>
      <c r="J127" s="25">
        <f>H127</f>
        <v>0</v>
      </c>
      <c r="K127" s="25">
        <f>G127*H127</f>
        <v>0</v>
      </c>
      <c r="L127" s="25"/>
      <c r="M127" s="26">
        <f>K127</f>
        <v>0</v>
      </c>
      <c r="O127" s="357"/>
    </row>
    <row r="128" spans="1:15" s="27" customFormat="1" ht="25.5" x14ac:dyDescent="0.25">
      <c r="A128" s="42">
        <f t="shared" si="10"/>
        <v>118</v>
      </c>
      <c r="B128" s="15"/>
      <c r="C128" s="314" t="s">
        <v>23</v>
      </c>
      <c r="D128" s="330" t="s">
        <v>25</v>
      </c>
      <c r="E128" s="328" t="s">
        <v>10</v>
      </c>
      <c r="F128" s="329">
        <v>1.7</v>
      </c>
      <c r="G128" s="318">
        <f>G124*0.2*F128</f>
        <v>401.47</v>
      </c>
      <c r="H128" s="3"/>
      <c r="I128" s="24"/>
      <c r="J128" s="25">
        <f>H128</f>
        <v>0</v>
      </c>
      <c r="K128" s="25">
        <f>G128*H128</f>
        <v>0</v>
      </c>
      <c r="L128" s="25"/>
      <c r="M128" s="26">
        <f>K128</f>
        <v>0</v>
      </c>
      <c r="O128" s="357"/>
    </row>
    <row r="129" spans="1:15" s="68" customFormat="1" ht="25.5" x14ac:dyDescent="0.25">
      <c r="A129" s="42">
        <f t="shared" si="10"/>
        <v>119</v>
      </c>
      <c r="B129" s="15"/>
      <c r="C129" s="314" t="s">
        <v>104</v>
      </c>
      <c r="D129" s="315" t="s">
        <v>25</v>
      </c>
      <c r="E129" s="316" t="s">
        <v>14</v>
      </c>
      <c r="F129" s="317">
        <v>0.3</v>
      </c>
      <c r="G129" s="318">
        <f>78.72*0.2*15*F129</f>
        <v>70.849999999999994</v>
      </c>
      <c r="H129" s="3"/>
      <c r="I129" s="69"/>
      <c r="J129" s="25">
        <f>H129</f>
        <v>0</v>
      </c>
      <c r="K129" s="25">
        <f>G129*H129</f>
        <v>0</v>
      </c>
      <c r="L129" s="25"/>
      <c r="M129" s="26">
        <f>K129</f>
        <v>0</v>
      </c>
      <c r="O129" s="356"/>
    </row>
    <row r="130" spans="1:15" s="44" customFormat="1" ht="25.5" customHeight="1" x14ac:dyDescent="0.25">
      <c r="A130" s="305">
        <f>ROW()-10</f>
        <v>120</v>
      </c>
      <c r="B130" s="306" t="s">
        <v>113</v>
      </c>
      <c r="C130" s="307" t="s">
        <v>112</v>
      </c>
      <c r="D130" s="36"/>
      <c r="E130" s="308"/>
      <c r="F130" s="309"/>
      <c r="G130" s="310"/>
      <c r="H130" s="39"/>
      <c r="I130" s="37"/>
      <c r="J130" s="28"/>
      <c r="K130" s="28"/>
      <c r="L130" s="28"/>
      <c r="M130" s="40"/>
      <c r="O130" s="355"/>
    </row>
    <row r="131" spans="1:15" s="27" customFormat="1" ht="12.75" x14ac:dyDescent="0.25">
      <c r="A131" s="43">
        <f t="shared" ref="A131:A142" si="11">ROW()-10</f>
        <v>121</v>
      </c>
      <c r="B131" s="14" t="s">
        <v>113</v>
      </c>
      <c r="C131" s="8" t="s">
        <v>16</v>
      </c>
      <c r="D131" s="5" t="s">
        <v>22</v>
      </c>
      <c r="E131" s="6" t="s">
        <v>8</v>
      </c>
      <c r="F131" s="7">
        <v>1</v>
      </c>
      <c r="G131" s="18">
        <f>69.3*15</f>
        <v>1039.5</v>
      </c>
      <c r="H131" s="2"/>
      <c r="I131" s="4"/>
      <c r="J131" s="21">
        <f>I131</f>
        <v>0</v>
      </c>
      <c r="K131" s="21"/>
      <c r="L131" s="21">
        <f>G131*I131</f>
        <v>0</v>
      </c>
      <c r="M131" s="22">
        <f>L131</f>
        <v>0</v>
      </c>
      <c r="O131" s="357"/>
    </row>
    <row r="132" spans="1:15" s="27" customFormat="1" ht="25.5" x14ac:dyDescent="0.25">
      <c r="A132" s="41">
        <f t="shared" si="11"/>
        <v>122</v>
      </c>
      <c r="B132" s="38" t="s">
        <v>59</v>
      </c>
      <c r="C132" s="314" t="s">
        <v>58</v>
      </c>
      <c r="D132" s="315" t="s">
        <v>25</v>
      </c>
      <c r="E132" s="316" t="s">
        <v>8</v>
      </c>
      <c r="F132" s="317">
        <v>1.07</v>
      </c>
      <c r="G132" s="9">
        <f>G131*F132</f>
        <v>1112.27</v>
      </c>
      <c r="H132" s="3"/>
      <c r="I132" s="24"/>
      <c r="J132" s="25">
        <f>H132</f>
        <v>0</v>
      </c>
      <c r="K132" s="25">
        <f>G132*H132</f>
        <v>0</v>
      </c>
      <c r="L132" s="25"/>
      <c r="M132" s="26">
        <f>K132</f>
        <v>0</v>
      </c>
      <c r="O132" s="357"/>
    </row>
    <row r="133" spans="1:15" s="27" customFormat="1" ht="25.5" x14ac:dyDescent="0.25">
      <c r="A133" s="42">
        <f t="shared" si="11"/>
        <v>123</v>
      </c>
      <c r="B133" s="15"/>
      <c r="C133" s="314" t="s">
        <v>9</v>
      </c>
      <c r="D133" s="315" t="s">
        <v>25</v>
      </c>
      <c r="E133" s="316" t="s">
        <v>10</v>
      </c>
      <c r="F133" s="317">
        <v>12</v>
      </c>
      <c r="G133" s="9">
        <f>G131*F133</f>
        <v>12474</v>
      </c>
      <c r="H133" s="3"/>
      <c r="I133" s="24"/>
      <c r="J133" s="25">
        <f>H133</f>
        <v>0</v>
      </c>
      <c r="K133" s="25">
        <f>G133*H133</f>
        <v>0</v>
      </c>
      <c r="L133" s="25"/>
      <c r="M133" s="26">
        <f>K133</f>
        <v>0</v>
      </c>
      <c r="O133" s="357"/>
    </row>
    <row r="134" spans="1:15" s="27" customFormat="1" ht="25.5" x14ac:dyDescent="0.25">
      <c r="A134" s="42">
        <f t="shared" si="11"/>
        <v>124</v>
      </c>
      <c r="B134" s="15"/>
      <c r="C134" s="314" t="s">
        <v>11</v>
      </c>
      <c r="D134" s="315" t="s">
        <v>25</v>
      </c>
      <c r="E134" s="316" t="s">
        <v>10</v>
      </c>
      <c r="F134" s="317">
        <v>0.25</v>
      </c>
      <c r="G134" s="9">
        <f>G131*F134</f>
        <v>259.88</v>
      </c>
      <c r="H134" s="3"/>
      <c r="I134" s="24"/>
      <c r="J134" s="25">
        <f>H134</f>
        <v>0</v>
      </c>
      <c r="K134" s="25">
        <f>G134*H134</f>
        <v>0</v>
      </c>
      <c r="L134" s="25"/>
      <c r="M134" s="26">
        <f>K134</f>
        <v>0</v>
      </c>
      <c r="O134" s="357"/>
    </row>
    <row r="135" spans="1:15" s="27" customFormat="1" ht="12.75" x14ac:dyDescent="0.25">
      <c r="A135" s="43">
        <f t="shared" ref="A135:A145" si="12">ROW()-10</f>
        <v>125</v>
      </c>
      <c r="B135" s="14" t="s">
        <v>113</v>
      </c>
      <c r="C135" s="8" t="s">
        <v>62</v>
      </c>
      <c r="D135" s="5" t="s">
        <v>22</v>
      </c>
      <c r="E135" s="6" t="s">
        <v>8</v>
      </c>
      <c r="F135" s="7">
        <v>1</v>
      </c>
      <c r="G135" s="18">
        <f>8.5*15</f>
        <v>127.5</v>
      </c>
      <c r="H135" s="2"/>
      <c r="I135" s="4"/>
      <c r="J135" s="21">
        <f>I135</f>
        <v>0</v>
      </c>
      <c r="K135" s="21"/>
      <c r="L135" s="21">
        <f>G135*I135</f>
        <v>0</v>
      </c>
      <c r="M135" s="22">
        <f>L135</f>
        <v>0</v>
      </c>
      <c r="O135" s="357"/>
    </row>
    <row r="136" spans="1:15" s="27" customFormat="1" ht="25.5" x14ac:dyDescent="0.25">
      <c r="A136" s="41">
        <f t="shared" si="12"/>
        <v>126</v>
      </c>
      <c r="B136" s="38" t="s">
        <v>64</v>
      </c>
      <c r="C136" s="314" t="s">
        <v>67</v>
      </c>
      <c r="D136" s="315" t="s">
        <v>25</v>
      </c>
      <c r="E136" s="316" t="s">
        <v>8</v>
      </c>
      <c r="F136" s="317">
        <v>1.07</v>
      </c>
      <c r="G136" s="9">
        <f>G135*F136</f>
        <v>136.43</v>
      </c>
      <c r="H136" s="3"/>
      <c r="I136" s="24"/>
      <c r="J136" s="25">
        <f>H136</f>
        <v>0</v>
      </c>
      <c r="K136" s="25">
        <f>G136*H136</f>
        <v>0</v>
      </c>
      <c r="L136" s="25"/>
      <c r="M136" s="26">
        <f>K136</f>
        <v>0</v>
      </c>
      <c r="O136" s="357"/>
    </row>
    <row r="137" spans="1:15" s="27" customFormat="1" ht="25.5" x14ac:dyDescent="0.25">
      <c r="A137" s="42">
        <f t="shared" si="12"/>
        <v>127</v>
      </c>
      <c r="B137" s="15"/>
      <c r="C137" s="314" t="s">
        <v>9</v>
      </c>
      <c r="D137" s="315" t="s">
        <v>25</v>
      </c>
      <c r="E137" s="316" t="s">
        <v>10</v>
      </c>
      <c r="F137" s="317">
        <v>12</v>
      </c>
      <c r="G137" s="9">
        <f>G135*F137</f>
        <v>1530</v>
      </c>
      <c r="H137" s="3"/>
      <c r="I137" s="24"/>
      <c r="J137" s="25">
        <f>H137</f>
        <v>0</v>
      </c>
      <c r="K137" s="25">
        <f>G137*H137</f>
        <v>0</v>
      </c>
      <c r="L137" s="25"/>
      <c r="M137" s="26">
        <f>K137</f>
        <v>0</v>
      </c>
      <c r="O137" s="357"/>
    </row>
    <row r="138" spans="1:15" s="27" customFormat="1" ht="25.5" x14ac:dyDescent="0.25">
      <c r="A138" s="42">
        <f t="shared" si="12"/>
        <v>128</v>
      </c>
      <c r="B138" s="15"/>
      <c r="C138" s="314" t="s">
        <v>11</v>
      </c>
      <c r="D138" s="315" t="s">
        <v>25</v>
      </c>
      <c r="E138" s="316" t="s">
        <v>10</v>
      </c>
      <c r="F138" s="317">
        <v>0.25</v>
      </c>
      <c r="G138" s="9">
        <f>G135*F138</f>
        <v>31.88</v>
      </c>
      <c r="H138" s="3"/>
      <c r="I138" s="24"/>
      <c r="J138" s="25">
        <f>H138</f>
        <v>0</v>
      </c>
      <c r="K138" s="25">
        <f>G138*H138</f>
        <v>0</v>
      </c>
      <c r="L138" s="25"/>
      <c r="M138" s="26">
        <f>K138</f>
        <v>0</v>
      </c>
      <c r="O138" s="357"/>
    </row>
    <row r="139" spans="1:15" s="27" customFormat="1" ht="25.5" x14ac:dyDescent="0.25">
      <c r="A139" s="43">
        <f t="shared" si="11"/>
        <v>129</v>
      </c>
      <c r="B139" s="14" t="s">
        <v>113</v>
      </c>
      <c r="C139" s="8" t="s">
        <v>17</v>
      </c>
      <c r="D139" s="5" t="s">
        <v>22</v>
      </c>
      <c r="E139" s="6" t="s">
        <v>12</v>
      </c>
      <c r="F139" s="7">
        <v>1</v>
      </c>
      <c r="G139" s="18">
        <f>67.6*15+10.6*15</f>
        <v>1173</v>
      </c>
      <c r="H139" s="2"/>
      <c r="I139" s="4"/>
      <c r="J139" s="21">
        <f>I139</f>
        <v>0</v>
      </c>
      <c r="K139" s="21"/>
      <c r="L139" s="21">
        <f>G139*I139</f>
        <v>0</v>
      </c>
      <c r="M139" s="22">
        <f>L139</f>
        <v>0</v>
      </c>
      <c r="O139" s="357"/>
    </row>
    <row r="140" spans="1:15" s="27" customFormat="1" ht="25.5" x14ac:dyDescent="0.25">
      <c r="A140" s="42">
        <f t="shared" si="11"/>
        <v>130</v>
      </c>
      <c r="B140" s="15" t="s">
        <v>65</v>
      </c>
      <c r="C140" s="314" t="s">
        <v>66</v>
      </c>
      <c r="D140" s="315" t="s">
        <v>25</v>
      </c>
      <c r="E140" s="316" t="s">
        <v>8</v>
      </c>
      <c r="F140" s="317">
        <v>1.07</v>
      </c>
      <c r="G140" s="9">
        <f>G139*0.1*F140</f>
        <v>125.51</v>
      </c>
      <c r="H140" s="3"/>
      <c r="I140" s="24"/>
      <c r="J140" s="25">
        <f>H140</f>
        <v>0</v>
      </c>
      <c r="K140" s="25">
        <f>G140*H140</f>
        <v>0</v>
      </c>
      <c r="L140" s="25"/>
      <c r="M140" s="26">
        <f>K140</f>
        <v>0</v>
      </c>
      <c r="O140" s="357"/>
    </row>
    <row r="141" spans="1:15" s="27" customFormat="1" ht="25.5" x14ac:dyDescent="0.25">
      <c r="A141" s="42">
        <f t="shared" si="11"/>
        <v>131</v>
      </c>
      <c r="B141" s="15"/>
      <c r="C141" s="314" t="s">
        <v>9</v>
      </c>
      <c r="D141" s="315" t="s">
        <v>25</v>
      </c>
      <c r="E141" s="316" t="s">
        <v>10</v>
      </c>
      <c r="F141" s="317">
        <v>12</v>
      </c>
      <c r="G141" s="9">
        <f>G139*0.1*F141</f>
        <v>1407.6</v>
      </c>
      <c r="H141" s="3"/>
      <c r="I141" s="24"/>
      <c r="J141" s="25">
        <f>H141</f>
        <v>0</v>
      </c>
      <c r="K141" s="25">
        <f>G141*H141</f>
        <v>0</v>
      </c>
      <c r="L141" s="25"/>
      <c r="M141" s="26">
        <f>K141</f>
        <v>0</v>
      </c>
      <c r="O141" s="357"/>
    </row>
    <row r="142" spans="1:15" s="27" customFormat="1" ht="25.5" x14ac:dyDescent="0.25">
      <c r="A142" s="42">
        <f t="shared" si="11"/>
        <v>132</v>
      </c>
      <c r="B142" s="15"/>
      <c r="C142" s="314" t="s">
        <v>11</v>
      </c>
      <c r="D142" s="315" t="s">
        <v>25</v>
      </c>
      <c r="E142" s="316" t="s">
        <v>10</v>
      </c>
      <c r="F142" s="317">
        <v>0.25</v>
      </c>
      <c r="G142" s="9">
        <f>G139*0.1*F142</f>
        <v>29.33</v>
      </c>
      <c r="H142" s="3"/>
      <c r="I142" s="24"/>
      <c r="J142" s="25">
        <f>H142</f>
        <v>0</v>
      </c>
      <c r="K142" s="25">
        <f>G142*H142</f>
        <v>0</v>
      </c>
      <c r="L142" s="25"/>
      <c r="M142" s="26">
        <f>K142</f>
        <v>0</v>
      </c>
      <c r="O142" s="357"/>
    </row>
    <row r="143" spans="1:15" s="27" customFormat="1" ht="12.75" x14ac:dyDescent="0.25">
      <c r="A143" s="43">
        <f t="shared" si="12"/>
        <v>133</v>
      </c>
      <c r="B143" s="14" t="s">
        <v>113</v>
      </c>
      <c r="C143" s="8" t="s">
        <v>76</v>
      </c>
      <c r="D143" s="5" t="s">
        <v>22</v>
      </c>
      <c r="E143" s="6" t="s">
        <v>12</v>
      </c>
      <c r="F143" s="7">
        <v>1</v>
      </c>
      <c r="G143" s="18">
        <f>7.4*15</f>
        <v>111</v>
      </c>
      <c r="H143" s="2"/>
      <c r="I143" s="4"/>
      <c r="J143" s="21">
        <f>I143</f>
        <v>0</v>
      </c>
      <c r="K143" s="21"/>
      <c r="L143" s="21">
        <f>G143*I143</f>
        <v>0</v>
      </c>
      <c r="M143" s="22">
        <f>L143</f>
        <v>0</v>
      </c>
      <c r="O143" s="357"/>
    </row>
    <row r="144" spans="1:15" s="27" customFormat="1" ht="25.5" x14ac:dyDescent="0.25">
      <c r="A144" s="42">
        <f t="shared" si="12"/>
        <v>134</v>
      </c>
      <c r="B144" s="15"/>
      <c r="C144" s="314" t="s">
        <v>130</v>
      </c>
      <c r="D144" s="315" t="s">
        <v>25</v>
      </c>
      <c r="E144" s="316" t="s">
        <v>14</v>
      </c>
      <c r="F144" s="317">
        <v>0.3</v>
      </c>
      <c r="G144" s="9">
        <f>G143*0.1*F144</f>
        <v>3.33</v>
      </c>
      <c r="H144" s="3"/>
      <c r="I144" s="24"/>
      <c r="J144" s="25">
        <f>H144</f>
        <v>0</v>
      </c>
      <c r="K144" s="25">
        <f>G144*H144</f>
        <v>0</v>
      </c>
      <c r="L144" s="25"/>
      <c r="M144" s="26">
        <f>K144</f>
        <v>0</v>
      </c>
      <c r="O144" s="357"/>
    </row>
    <row r="145" spans="1:15" s="27" customFormat="1" ht="25.5" x14ac:dyDescent="0.25">
      <c r="A145" s="42">
        <f t="shared" si="12"/>
        <v>135</v>
      </c>
      <c r="B145" s="15"/>
      <c r="C145" s="314" t="s">
        <v>13</v>
      </c>
      <c r="D145" s="315" t="s">
        <v>25</v>
      </c>
      <c r="E145" s="316" t="s">
        <v>14</v>
      </c>
      <c r="F145" s="317">
        <v>0.1</v>
      </c>
      <c r="G145" s="9">
        <f>G143*0.1*F145</f>
        <v>1.1100000000000001</v>
      </c>
      <c r="H145" s="3"/>
      <c r="I145" s="24"/>
      <c r="J145" s="25">
        <f>H145</f>
        <v>0</v>
      </c>
      <c r="K145" s="25">
        <f>G145*H145</f>
        <v>0</v>
      </c>
      <c r="L145" s="25"/>
      <c r="M145" s="26">
        <f>K145</f>
        <v>0</v>
      </c>
      <c r="O145" s="357"/>
    </row>
    <row r="146" spans="1:15" s="23" customFormat="1" ht="12.75" x14ac:dyDescent="0.25">
      <c r="A146" s="297">
        <f>ROW()-10</f>
        <v>136</v>
      </c>
      <c r="B146" s="298" t="s">
        <v>84</v>
      </c>
      <c r="C146" s="299" t="s">
        <v>125</v>
      </c>
      <c r="D146" s="48"/>
      <c r="E146" s="300"/>
      <c r="F146" s="301"/>
      <c r="G146" s="302"/>
      <c r="H146" s="49"/>
      <c r="I146" s="50"/>
      <c r="J146" s="51"/>
      <c r="K146" s="51"/>
      <c r="L146" s="51"/>
      <c r="M146" s="52"/>
      <c r="O146" s="354"/>
    </row>
    <row r="147" spans="1:15" s="44" customFormat="1" ht="25.5" customHeight="1" x14ac:dyDescent="0.25">
      <c r="A147" s="305">
        <f>ROW()-10</f>
        <v>137</v>
      </c>
      <c r="B147" s="306" t="s">
        <v>87</v>
      </c>
      <c r="C147" s="307" t="s">
        <v>88</v>
      </c>
      <c r="D147" s="36"/>
      <c r="E147" s="308"/>
      <c r="F147" s="309"/>
      <c r="G147" s="310"/>
      <c r="H147" s="39"/>
      <c r="I147" s="37"/>
      <c r="J147" s="28"/>
      <c r="K147" s="28"/>
      <c r="L147" s="28"/>
      <c r="M147" s="40"/>
      <c r="O147" s="355"/>
    </row>
    <row r="148" spans="1:15" s="23" customFormat="1" ht="12.75" x14ac:dyDescent="0.25">
      <c r="A148" s="319">
        <f t="shared" ref="A148:A157" si="13">ROW()-10</f>
        <v>138</v>
      </c>
      <c r="B148" s="320" t="s">
        <v>96</v>
      </c>
      <c r="C148" s="321" t="s">
        <v>97</v>
      </c>
      <c r="D148" s="322" t="s">
        <v>22</v>
      </c>
      <c r="E148" s="323" t="s">
        <v>8</v>
      </c>
      <c r="F148" s="143">
        <v>1</v>
      </c>
      <c r="G148" s="313">
        <v>68</v>
      </c>
      <c r="H148" s="2"/>
      <c r="I148" s="4"/>
      <c r="J148" s="21">
        <f>I148</f>
        <v>0</v>
      </c>
      <c r="K148" s="21"/>
      <c r="L148" s="21">
        <f>G148*I148</f>
        <v>0</v>
      </c>
      <c r="M148" s="22">
        <f>L148</f>
        <v>0</v>
      </c>
      <c r="O148" s="354"/>
    </row>
    <row r="149" spans="1:15" s="68" customFormat="1" ht="25.5" x14ac:dyDescent="0.25">
      <c r="A149" s="324">
        <f t="shared" si="13"/>
        <v>139</v>
      </c>
      <c r="B149" s="325"/>
      <c r="C149" s="314" t="s">
        <v>120</v>
      </c>
      <c r="D149" s="315" t="s">
        <v>25</v>
      </c>
      <c r="E149" s="316" t="s">
        <v>12</v>
      </c>
      <c r="F149" s="317">
        <v>1.1000000000000001</v>
      </c>
      <c r="G149" s="318">
        <f>G148*11*F149</f>
        <v>822.8</v>
      </c>
      <c r="H149" s="3"/>
      <c r="I149" s="24"/>
      <c r="J149" s="25">
        <f>H149</f>
        <v>0</v>
      </c>
      <c r="K149" s="25">
        <f>G149*H149</f>
        <v>0</v>
      </c>
      <c r="L149" s="25"/>
      <c r="M149" s="26">
        <f>K149</f>
        <v>0</v>
      </c>
      <c r="O149" s="356"/>
    </row>
    <row r="150" spans="1:15" s="23" customFormat="1" ht="12.75" x14ac:dyDescent="0.25">
      <c r="A150" s="43">
        <f t="shared" si="13"/>
        <v>140</v>
      </c>
      <c r="B150" s="14" t="s">
        <v>99</v>
      </c>
      <c r="C150" s="55" t="s">
        <v>100</v>
      </c>
      <c r="D150" s="5" t="s">
        <v>22</v>
      </c>
      <c r="E150" s="6" t="s">
        <v>8</v>
      </c>
      <c r="F150" s="7">
        <v>1</v>
      </c>
      <c r="G150" s="313">
        <v>15</v>
      </c>
      <c r="H150" s="2"/>
      <c r="I150" s="4"/>
      <c r="J150" s="21">
        <f>I150</f>
        <v>0</v>
      </c>
      <c r="K150" s="21"/>
      <c r="L150" s="21">
        <f>G150*I150</f>
        <v>0</v>
      </c>
      <c r="M150" s="22">
        <f>L150</f>
        <v>0</v>
      </c>
      <c r="O150" s="354"/>
    </row>
    <row r="151" spans="1:15" s="68" customFormat="1" ht="25.5" x14ac:dyDescent="0.25">
      <c r="A151" s="42">
        <f t="shared" si="13"/>
        <v>141</v>
      </c>
      <c r="B151" s="15"/>
      <c r="C151" s="326" t="s">
        <v>13</v>
      </c>
      <c r="D151" s="315" t="s">
        <v>25</v>
      </c>
      <c r="E151" s="316" t="s">
        <v>14</v>
      </c>
      <c r="F151" s="317">
        <v>0.1</v>
      </c>
      <c r="G151" s="318">
        <f>G150*F151</f>
        <v>1.5</v>
      </c>
      <c r="H151" s="3"/>
      <c r="I151" s="24"/>
      <c r="J151" s="25">
        <f>H151</f>
        <v>0</v>
      </c>
      <c r="K151" s="25">
        <f>G151*H151</f>
        <v>0</v>
      </c>
      <c r="L151" s="25"/>
      <c r="M151" s="26">
        <f>K151</f>
        <v>0</v>
      </c>
      <c r="O151" s="356"/>
    </row>
    <row r="152" spans="1:15" s="68" customFormat="1" ht="25.5" x14ac:dyDescent="0.25">
      <c r="A152" s="42">
        <f t="shared" si="13"/>
        <v>142</v>
      </c>
      <c r="B152" s="15"/>
      <c r="C152" s="326" t="s">
        <v>101</v>
      </c>
      <c r="D152" s="315" t="s">
        <v>25</v>
      </c>
      <c r="E152" s="316" t="s">
        <v>10</v>
      </c>
      <c r="F152" s="317">
        <v>1.2</v>
      </c>
      <c r="G152" s="318">
        <f>G150*F152</f>
        <v>18</v>
      </c>
      <c r="H152" s="3"/>
      <c r="I152" s="24"/>
      <c r="J152" s="25">
        <f>H152</f>
        <v>0</v>
      </c>
      <c r="K152" s="25">
        <f>G152*H152</f>
        <v>0</v>
      </c>
      <c r="L152" s="25"/>
      <c r="M152" s="26">
        <f>K152</f>
        <v>0</v>
      </c>
      <c r="O152" s="356"/>
    </row>
    <row r="153" spans="1:15" s="68" customFormat="1" ht="25.5" x14ac:dyDescent="0.25">
      <c r="A153" s="42">
        <f t="shared" si="13"/>
        <v>143</v>
      </c>
      <c r="B153" s="15"/>
      <c r="C153" s="314" t="s">
        <v>23</v>
      </c>
      <c r="D153" s="315" t="s">
        <v>25</v>
      </c>
      <c r="E153" s="316" t="s">
        <v>10</v>
      </c>
      <c r="F153" s="317">
        <v>1.7</v>
      </c>
      <c r="G153" s="318">
        <f>G150*F153</f>
        <v>25.5</v>
      </c>
      <c r="H153" s="3"/>
      <c r="I153" s="24"/>
      <c r="J153" s="25">
        <f>H153</f>
        <v>0</v>
      </c>
      <c r="K153" s="25">
        <f>G153*H153</f>
        <v>0</v>
      </c>
      <c r="L153" s="25"/>
      <c r="M153" s="26">
        <f>K153</f>
        <v>0</v>
      </c>
      <c r="O153" s="356"/>
    </row>
    <row r="154" spans="1:15" s="23" customFormat="1" ht="38.25" x14ac:dyDescent="0.25">
      <c r="A154" s="43">
        <f t="shared" si="13"/>
        <v>144</v>
      </c>
      <c r="B154" s="14" t="s">
        <v>102</v>
      </c>
      <c r="C154" s="8" t="s">
        <v>103</v>
      </c>
      <c r="D154" s="5" t="s">
        <v>22</v>
      </c>
      <c r="E154" s="6" t="s">
        <v>8</v>
      </c>
      <c r="F154" s="7">
        <v>1</v>
      </c>
      <c r="G154" s="313">
        <f>G148+G150</f>
        <v>83</v>
      </c>
      <c r="H154" s="2"/>
      <c r="I154" s="4"/>
      <c r="J154" s="21">
        <f>I154</f>
        <v>0</v>
      </c>
      <c r="K154" s="21"/>
      <c r="L154" s="21">
        <f>G154*I154</f>
        <v>0</v>
      </c>
      <c r="M154" s="22">
        <f>L154</f>
        <v>0</v>
      </c>
      <c r="O154" s="354"/>
    </row>
    <row r="155" spans="1:15" s="68" customFormat="1" ht="25.5" x14ac:dyDescent="0.25">
      <c r="A155" s="42">
        <f t="shared" si="13"/>
        <v>145</v>
      </c>
      <c r="B155" s="15"/>
      <c r="C155" s="314" t="s">
        <v>13</v>
      </c>
      <c r="D155" s="315" t="s">
        <v>25</v>
      </c>
      <c r="E155" s="316" t="s">
        <v>14</v>
      </c>
      <c r="F155" s="317">
        <v>0.1</v>
      </c>
      <c r="G155" s="318">
        <f>G154*F155</f>
        <v>8.3000000000000007</v>
      </c>
      <c r="H155" s="3"/>
      <c r="I155" s="24"/>
      <c r="J155" s="25">
        <f>H155</f>
        <v>0</v>
      </c>
      <c r="K155" s="25">
        <f>G155*H155</f>
        <v>0</v>
      </c>
      <c r="L155" s="25"/>
      <c r="M155" s="26">
        <f>K155</f>
        <v>0</v>
      </c>
      <c r="O155" s="356"/>
    </row>
    <row r="156" spans="1:15" s="70" customFormat="1" ht="25.5" x14ac:dyDescent="0.25">
      <c r="A156" s="42">
        <f t="shared" si="13"/>
        <v>146</v>
      </c>
      <c r="B156" s="38"/>
      <c r="C156" s="314" t="s">
        <v>118</v>
      </c>
      <c r="D156" s="315" t="s">
        <v>25</v>
      </c>
      <c r="E156" s="316" t="s">
        <v>14</v>
      </c>
      <c r="F156" s="317">
        <v>0.3</v>
      </c>
      <c r="G156" s="318">
        <f>15*F156</f>
        <v>4.5</v>
      </c>
      <c r="H156" s="3"/>
      <c r="I156" s="24"/>
      <c r="J156" s="25">
        <f>H156</f>
        <v>0</v>
      </c>
      <c r="K156" s="25">
        <f>G156*H156</f>
        <v>0</v>
      </c>
      <c r="L156" s="25"/>
      <c r="M156" s="26">
        <f>K156</f>
        <v>0</v>
      </c>
      <c r="O156" s="358"/>
    </row>
    <row r="157" spans="1:15" s="70" customFormat="1" ht="51" x14ac:dyDescent="0.25">
      <c r="A157" s="42">
        <f t="shared" si="13"/>
        <v>147</v>
      </c>
      <c r="B157" s="38" t="s">
        <v>121</v>
      </c>
      <c r="C157" s="314" t="s">
        <v>106</v>
      </c>
      <c r="D157" s="315" t="s">
        <v>25</v>
      </c>
      <c r="E157" s="316" t="s">
        <v>14</v>
      </c>
      <c r="F157" s="317">
        <v>0.3</v>
      </c>
      <c r="G157" s="318">
        <f>(68+91.15*0.2)*F157</f>
        <v>25.87</v>
      </c>
      <c r="H157" s="3"/>
      <c r="I157" s="24"/>
      <c r="J157" s="25">
        <f>H157</f>
        <v>0</v>
      </c>
      <c r="K157" s="25">
        <f>G157*H157</f>
        <v>0</v>
      </c>
      <c r="L157" s="25"/>
      <c r="M157" s="26">
        <f>K157</f>
        <v>0</v>
      </c>
      <c r="O157" s="358"/>
    </row>
    <row r="158" spans="1:15" s="44" customFormat="1" ht="25.5" customHeight="1" x14ac:dyDescent="0.25">
      <c r="A158" s="256">
        <f>ROW()-10</f>
        <v>148</v>
      </c>
      <c r="B158" s="306" t="s">
        <v>110</v>
      </c>
      <c r="C158" s="307" t="s">
        <v>109</v>
      </c>
      <c r="D158" s="36"/>
      <c r="E158" s="308"/>
      <c r="F158" s="309"/>
      <c r="G158" s="310"/>
      <c r="H158" s="39"/>
      <c r="I158" s="37"/>
      <c r="J158" s="28"/>
      <c r="K158" s="28"/>
      <c r="L158" s="28"/>
      <c r="M158" s="40"/>
      <c r="O158" s="355"/>
    </row>
    <row r="159" spans="1:15" s="27" customFormat="1" ht="12.75" x14ac:dyDescent="0.25">
      <c r="A159" s="43">
        <f t="shared" ref="A159:A178" si="14">ROW()-10</f>
        <v>149</v>
      </c>
      <c r="B159" s="14" t="s">
        <v>110</v>
      </c>
      <c r="C159" s="55" t="s">
        <v>21</v>
      </c>
      <c r="D159" s="5" t="s">
        <v>22</v>
      </c>
      <c r="E159" s="6" t="s">
        <v>8</v>
      </c>
      <c r="F159" s="7">
        <v>1</v>
      </c>
      <c r="G159" s="18">
        <f>189.92</f>
        <v>189.92</v>
      </c>
      <c r="H159" s="2"/>
      <c r="I159" s="4"/>
      <c r="J159" s="21">
        <f>I159</f>
        <v>0</v>
      </c>
      <c r="K159" s="21"/>
      <c r="L159" s="21">
        <f>G159*I159</f>
        <v>0</v>
      </c>
      <c r="M159" s="22">
        <f>L159</f>
        <v>0</v>
      </c>
      <c r="O159" s="357"/>
    </row>
    <row r="160" spans="1:15" s="27" customFormat="1" ht="25.5" x14ac:dyDescent="0.25">
      <c r="A160" s="42">
        <f t="shared" si="14"/>
        <v>150</v>
      </c>
      <c r="B160" s="15"/>
      <c r="C160" s="326" t="s">
        <v>13</v>
      </c>
      <c r="D160" s="315" t="s">
        <v>25</v>
      </c>
      <c r="E160" s="316" t="s">
        <v>14</v>
      </c>
      <c r="F160" s="317">
        <v>0.1</v>
      </c>
      <c r="G160" s="9">
        <f>G159*F160</f>
        <v>18.989999999999998</v>
      </c>
      <c r="H160" s="3"/>
      <c r="I160" s="24"/>
      <c r="J160" s="25">
        <f>H160</f>
        <v>0</v>
      </c>
      <c r="K160" s="25">
        <f>G160*H160</f>
        <v>0</v>
      </c>
      <c r="L160" s="25"/>
      <c r="M160" s="26">
        <f>K160</f>
        <v>0</v>
      </c>
      <c r="O160" s="357"/>
    </row>
    <row r="161" spans="1:15" s="27" customFormat="1" ht="25.5" x14ac:dyDescent="0.25">
      <c r="A161" s="42">
        <f t="shared" si="14"/>
        <v>151</v>
      </c>
      <c r="B161" s="15"/>
      <c r="C161" s="326" t="s">
        <v>52</v>
      </c>
      <c r="D161" s="315" t="s">
        <v>25</v>
      </c>
      <c r="E161" s="316" t="s">
        <v>10</v>
      </c>
      <c r="F161" s="317">
        <v>1.2</v>
      </c>
      <c r="G161" s="9">
        <f>G159*F161</f>
        <v>227.9</v>
      </c>
      <c r="H161" s="3"/>
      <c r="I161" s="53"/>
      <c r="J161" s="25">
        <f>H161</f>
        <v>0</v>
      </c>
      <c r="K161" s="25">
        <f>G161*H161</f>
        <v>0</v>
      </c>
      <c r="L161" s="25"/>
      <c r="M161" s="26">
        <f>K161</f>
        <v>0</v>
      </c>
      <c r="O161" s="357"/>
    </row>
    <row r="162" spans="1:15" s="27" customFormat="1" ht="25.5" x14ac:dyDescent="0.25">
      <c r="A162" s="42">
        <f t="shared" si="14"/>
        <v>152</v>
      </c>
      <c r="B162" s="15"/>
      <c r="C162" s="314" t="s">
        <v>23</v>
      </c>
      <c r="D162" s="315" t="s">
        <v>25</v>
      </c>
      <c r="E162" s="316" t="s">
        <v>10</v>
      </c>
      <c r="F162" s="317">
        <v>1.7</v>
      </c>
      <c r="G162" s="9">
        <f>G159*F162</f>
        <v>322.86</v>
      </c>
      <c r="H162" s="3"/>
      <c r="I162" s="24"/>
      <c r="J162" s="25">
        <f>H162</f>
        <v>0</v>
      </c>
      <c r="K162" s="25">
        <f>G162*H162</f>
        <v>0</v>
      </c>
      <c r="L162" s="25"/>
      <c r="M162" s="26">
        <f>K162</f>
        <v>0</v>
      </c>
      <c r="O162" s="357"/>
    </row>
    <row r="163" spans="1:15" s="27" customFormat="1" ht="45" customHeight="1" x14ac:dyDescent="0.25">
      <c r="A163" s="43">
        <f t="shared" si="14"/>
        <v>153</v>
      </c>
      <c r="B163" s="14" t="s">
        <v>110</v>
      </c>
      <c r="C163" s="54" t="s">
        <v>18</v>
      </c>
      <c r="D163" s="5" t="s">
        <v>22</v>
      </c>
      <c r="E163" s="6" t="s">
        <v>8</v>
      </c>
      <c r="F163" s="7">
        <v>1</v>
      </c>
      <c r="G163" s="18">
        <f>24.64</f>
        <v>24.64</v>
      </c>
      <c r="H163" s="2"/>
      <c r="I163" s="4"/>
      <c r="J163" s="21">
        <f>I163</f>
        <v>0</v>
      </c>
      <c r="K163" s="21"/>
      <c r="L163" s="21">
        <f>G163*I163</f>
        <v>0</v>
      </c>
      <c r="M163" s="22">
        <f>L163</f>
        <v>0</v>
      </c>
      <c r="O163" s="357"/>
    </row>
    <row r="164" spans="1:15" s="68" customFormat="1" ht="25.5" x14ac:dyDescent="0.25">
      <c r="A164" s="42">
        <f t="shared" si="14"/>
        <v>154</v>
      </c>
      <c r="B164" s="15"/>
      <c r="C164" s="314" t="s">
        <v>58</v>
      </c>
      <c r="D164" s="315" t="s">
        <v>25</v>
      </c>
      <c r="E164" s="316" t="s">
        <v>8</v>
      </c>
      <c r="F164" s="317">
        <v>1.07</v>
      </c>
      <c r="G164" s="318">
        <f>G163*F164</f>
        <v>26.36</v>
      </c>
      <c r="H164" s="3"/>
      <c r="I164" s="24"/>
      <c r="J164" s="25">
        <f>H164</f>
        <v>0</v>
      </c>
      <c r="K164" s="25">
        <f>G164*H164</f>
        <v>0</v>
      </c>
      <c r="L164" s="25"/>
      <c r="M164" s="26">
        <f>K164</f>
        <v>0</v>
      </c>
      <c r="O164" s="356"/>
    </row>
    <row r="165" spans="1:15" s="68" customFormat="1" ht="25.5" x14ac:dyDescent="0.25">
      <c r="A165" s="42">
        <f t="shared" si="14"/>
        <v>155</v>
      </c>
      <c r="B165" s="15"/>
      <c r="C165" s="314" t="s">
        <v>9</v>
      </c>
      <c r="D165" s="315" t="s">
        <v>25</v>
      </c>
      <c r="E165" s="316" t="s">
        <v>10</v>
      </c>
      <c r="F165" s="317">
        <v>12</v>
      </c>
      <c r="G165" s="318">
        <f>G163*0.3*F165</f>
        <v>88.7</v>
      </c>
      <c r="H165" s="3"/>
      <c r="I165" s="24"/>
      <c r="J165" s="25">
        <f>H165</f>
        <v>0</v>
      </c>
      <c r="K165" s="25">
        <f>G165*H165</f>
        <v>0</v>
      </c>
      <c r="L165" s="25"/>
      <c r="M165" s="26">
        <f>K165</f>
        <v>0</v>
      </c>
      <c r="O165" s="356"/>
    </row>
    <row r="166" spans="1:15" s="68" customFormat="1" ht="25.5" x14ac:dyDescent="0.25">
      <c r="A166" s="42">
        <f t="shared" si="14"/>
        <v>156</v>
      </c>
      <c r="B166" s="15"/>
      <c r="C166" s="314" t="s">
        <v>11</v>
      </c>
      <c r="D166" s="315" t="s">
        <v>25</v>
      </c>
      <c r="E166" s="316" t="s">
        <v>10</v>
      </c>
      <c r="F166" s="317">
        <v>0.25</v>
      </c>
      <c r="G166" s="318">
        <f>G163*0.3*F166</f>
        <v>1.85</v>
      </c>
      <c r="H166" s="3"/>
      <c r="I166" s="24"/>
      <c r="J166" s="25">
        <f>H166</f>
        <v>0</v>
      </c>
      <c r="K166" s="25">
        <f>G166*H166</f>
        <v>0</v>
      </c>
      <c r="L166" s="25"/>
      <c r="M166" s="26">
        <f>K166</f>
        <v>0</v>
      </c>
      <c r="O166" s="356"/>
    </row>
    <row r="167" spans="1:15" s="68" customFormat="1" ht="25.5" x14ac:dyDescent="0.25">
      <c r="A167" s="42">
        <f t="shared" si="14"/>
        <v>157</v>
      </c>
      <c r="B167" s="15"/>
      <c r="C167" s="314" t="s">
        <v>46</v>
      </c>
      <c r="D167" s="315" t="s">
        <v>25</v>
      </c>
      <c r="E167" s="316" t="s">
        <v>12</v>
      </c>
      <c r="F167" s="317">
        <v>1.1000000000000001</v>
      </c>
      <c r="G167" s="318">
        <f>10.75*F167</f>
        <v>11.83</v>
      </c>
      <c r="H167" s="3"/>
      <c r="I167" s="24"/>
      <c r="J167" s="25">
        <f>H167</f>
        <v>0</v>
      </c>
      <c r="K167" s="25">
        <f>G167*H167</f>
        <v>0</v>
      </c>
      <c r="L167" s="25"/>
      <c r="M167" s="26">
        <f>K167</f>
        <v>0</v>
      </c>
      <c r="O167" s="356"/>
    </row>
    <row r="168" spans="1:15" s="27" customFormat="1" ht="12.75" x14ac:dyDescent="0.25">
      <c r="A168" s="43">
        <f t="shared" si="14"/>
        <v>158</v>
      </c>
      <c r="B168" s="14" t="s">
        <v>110</v>
      </c>
      <c r="C168" s="8" t="s">
        <v>19</v>
      </c>
      <c r="D168" s="5" t="s">
        <v>22</v>
      </c>
      <c r="E168" s="6" t="s">
        <v>8</v>
      </c>
      <c r="F168" s="7">
        <v>1</v>
      </c>
      <c r="G168" s="18">
        <f>G159</f>
        <v>189.92</v>
      </c>
      <c r="H168" s="2"/>
      <c r="I168" s="4"/>
      <c r="J168" s="21">
        <f>I168</f>
        <v>0</v>
      </c>
      <c r="K168" s="21"/>
      <c r="L168" s="21">
        <f>G168*I168</f>
        <v>0</v>
      </c>
      <c r="M168" s="22">
        <f>L168</f>
        <v>0</v>
      </c>
      <c r="O168" s="357"/>
    </row>
    <row r="169" spans="1:15" s="68" customFormat="1" ht="25.5" x14ac:dyDescent="0.25">
      <c r="A169" s="42">
        <f t="shared" si="14"/>
        <v>159</v>
      </c>
      <c r="B169" s="15"/>
      <c r="C169" s="314" t="s">
        <v>13</v>
      </c>
      <c r="D169" s="315" t="s">
        <v>25</v>
      </c>
      <c r="E169" s="316" t="s">
        <v>14</v>
      </c>
      <c r="F169" s="317">
        <v>0.1</v>
      </c>
      <c r="G169" s="318">
        <f>G168*F169</f>
        <v>18.989999999999998</v>
      </c>
      <c r="H169" s="3"/>
      <c r="I169" s="24"/>
      <c r="J169" s="25">
        <f>H169</f>
        <v>0</v>
      </c>
      <c r="K169" s="25">
        <f>G169*H169</f>
        <v>0</v>
      </c>
      <c r="L169" s="25"/>
      <c r="M169" s="26">
        <f>K169</f>
        <v>0</v>
      </c>
      <c r="O169" s="356"/>
    </row>
    <row r="170" spans="1:15" s="68" customFormat="1" ht="25.5" x14ac:dyDescent="0.25">
      <c r="A170" s="42">
        <f t="shared" si="14"/>
        <v>160</v>
      </c>
      <c r="B170" s="15"/>
      <c r="C170" s="314" t="s">
        <v>104</v>
      </c>
      <c r="D170" s="315" t="s">
        <v>25</v>
      </c>
      <c r="E170" s="316" t="s">
        <v>14</v>
      </c>
      <c r="F170" s="317">
        <v>0.3</v>
      </c>
      <c r="G170" s="318">
        <f>168.44*F170</f>
        <v>50.53</v>
      </c>
      <c r="H170" s="3"/>
      <c r="I170" s="24"/>
      <c r="J170" s="25">
        <f>H170</f>
        <v>0</v>
      </c>
      <c r="K170" s="25">
        <f>G170*H170</f>
        <v>0</v>
      </c>
      <c r="L170" s="25"/>
      <c r="M170" s="26">
        <f>K170</f>
        <v>0</v>
      </c>
      <c r="O170" s="356"/>
    </row>
    <row r="171" spans="1:15" s="68" customFormat="1" ht="25.5" x14ac:dyDescent="0.25">
      <c r="A171" s="42">
        <f t="shared" si="14"/>
        <v>161</v>
      </c>
      <c r="B171" s="15"/>
      <c r="C171" s="314" t="s">
        <v>105</v>
      </c>
      <c r="D171" s="315" t="s">
        <v>25</v>
      </c>
      <c r="E171" s="316" t="s">
        <v>14</v>
      </c>
      <c r="F171" s="317">
        <v>0.3</v>
      </c>
      <c r="G171" s="318">
        <f>17*F171</f>
        <v>5.0999999999999996</v>
      </c>
      <c r="H171" s="3"/>
      <c r="I171" s="24"/>
      <c r="J171" s="25">
        <f>H171</f>
        <v>0</v>
      </c>
      <c r="K171" s="25">
        <f>G171*H171</f>
        <v>0</v>
      </c>
      <c r="L171" s="25"/>
      <c r="M171" s="26">
        <f>K171</f>
        <v>0</v>
      </c>
      <c r="O171" s="356"/>
    </row>
    <row r="172" spans="1:15" s="68" customFormat="1" ht="25.5" x14ac:dyDescent="0.25">
      <c r="A172" s="42">
        <f t="shared" si="14"/>
        <v>162</v>
      </c>
      <c r="B172" s="15"/>
      <c r="C172" s="314" t="s">
        <v>106</v>
      </c>
      <c r="D172" s="315" t="s">
        <v>25</v>
      </c>
      <c r="E172" s="316" t="s">
        <v>14</v>
      </c>
      <c r="F172" s="317">
        <v>0.3</v>
      </c>
      <c r="G172" s="318">
        <f>4.48*F172</f>
        <v>1.34</v>
      </c>
      <c r="H172" s="3"/>
      <c r="I172" s="24"/>
      <c r="J172" s="25">
        <f>H172</f>
        <v>0</v>
      </c>
      <c r="K172" s="25">
        <f>G172*H172</f>
        <v>0</v>
      </c>
      <c r="L172" s="25"/>
      <c r="M172" s="26">
        <f>K172</f>
        <v>0</v>
      </c>
      <c r="O172" s="356"/>
    </row>
    <row r="173" spans="1:15" s="27" customFormat="1" ht="21.75" customHeight="1" x14ac:dyDescent="0.25">
      <c r="A173" s="43">
        <f t="shared" si="14"/>
        <v>163</v>
      </c>
      <c r="B173" s="14" t="s">
        <v>110</v>
      </c>
      <c r="C173" s="8" t="s">
        <v>20</v>
      </c>
      <c r="D173" s="5" t="s">
        <v>22</v>
      </c>
      <c r="E173" s="6" t="s">
        <v>24</v>
      </c>
      <c r="F173" s="7">
        <v>1</v>
      </c>
      <c r="G173" s="18">
        <f>78.72</f>
        <v>78.72</v>
      </c>
      <c r="H173" s="2"/>
      <c r="I173" s="4"/>
      <c r="J173" s="21">
        <f>I173</f>
        <v>0</v>
      </c>
      <c r="K173" s="21"/>
      <c r="L173" s="21">
        <f>G173*I173</f>
        <v>0</v>
      </c>
      <c r="M173" s="22">
        <f>L173</f>
        <v>0</v>
      </c>
      <c r="O173" s="357"/>
    </row>
    <row r="174" spans="1:15" s="27" customFormat="1" ht="25.5" customHeight="1" x14ac:dyDescent="0.25">
      <c r="A174" s="42">
        <f t="shared" si="14"/>
        <v>164</v>
      </c>
      <c r="B174" s="15"/>
      <c r="C174" s="314" t="s">
        <v>32</v>
      </c>
      <c r="D174" s="315" t="s">
        <v>25</v>
      </c>
      <c r="E174" s="328" t="s">
        <v>10</v>
      </c>
      <c r="F174" s="329">
        <v>0.05</v>
      </c>
      <c r="G174" s="318">
        <f>G173*0.2*F174</f>
        <v>0.79</v>
      </c>
      <c r="H174" s="3"/>
      <c r="I174" s="24"/>
      <c r="J174" s="25">
        <f>H174</f>
        <v>0</v>
      </c>
      <c r="K174" s="25">
        <f>G174*H174</f>
        <v>0</v>
      </c>
      <c r="L174" s="25"/>
      <c r="M174" s="26">
        <f>K174</f>
        <v>0</v>
      </c>
      <c r="O174" s="357"/>
    </row>
    <row r="175" spans="1:15" s="27" customFormat="1" ht="25.5" x14ac:dyDescent="0.25">
      <c r="A175" s="42">
        <f t="shared" si="14"/>
        <v>165</v>
      </c>
      <c r="B175" s="15"/>
      <c r="C175" s="314" t="s">
        <v>33</v>
      </c>
      <c r="D175" s="315" t="s">
        <v>25</v>
      </c>
      <c r="E175" s="328" t="s">
        <v>10</v>
      </c>
      <c r="F175" s="329">
        <v>10</v>
      </c>
      <c r="G175" s="318">
        <f>G173*0.2*F175</f>
        <v>157.44</v>
      </c>
      <c r="H175" s="3"/>
      <c r="I175" s="24"/>
      <c r="J175" s="25">
        <f>H175</f>
        <v>0</v>
      </c>
      <c r="K175" s="25">
        <f>G175*H175</f>
        <v>0</v>
      </c>
      <c r="L175" s="25"/>
      <c r="M175" s="26">
        <f>K175</f>
        <v>0</v>
      </c>
      <c r="O175" s="357"/>
    </row>
    <row r="176" spans="1:15" s="27" customFormat="1" ht="25.5" x14ac:dyDescent="0.25">
      <c r="A176" s="42">
        <f t="shared" si="14"/>
        <v>166</v>
      </c>
      <c r="B176" s="15"/>
      <c r="C176" s="314" t="s">
        <v>13</v>
      </c>
      <c r="D176" s="315" t="s">
        <v>25</v>
      </c>
      <c r="E176" s="316" t="s">
        <v>14</v>
      </c>
      <c r="F176" s="317">
        <v>0.1</v>
      </c>
      <c r="G176" s="318">
        <f>G173*0.2*F176</f>
        <v>1.57</v>
      </c>
      <c r="H176" s="3"/>
      <c r="I176" s="24"/>
      <c r="J176" s="25">
        <f>H176</f>
        <v>0</v>
      </c>
      <c r="K176" s="25">
        <f>G176*H176</f>
        <v>0</v>
      </c>
      <c r="L176" s="25"/>
      <c r="M176" s="26">
        <f>K176</f>
        <v>0</v>
      </c>
      <c r="O176" s="357"/>
    </row>
    <row r="177" spans="1:15" s="27" customFormat="1" ht="25.5" x14ac:dyDescent="0.25">
      <c r="A177" s="42">
        <f t="shared" si="14"/>
        <v>167</v>
      </c>
      <c r="B177" s="15"/>
      <c r="C177" s="314" t="s">
        <v>23</v>
      </c>
      <c r="D177" s="330" t="s">
        <v>25</v>
      </c>
      <c r="E177" s="328" t="s">
        <v>10</v>
      </c>
      <c r="F177" s="329">
        <v>1.7</v>
      </c>
      <c r="G177" s="318">
        <f>G173*0.2*F177</f>
        <v>26.76</v>
      </c>
      <c r="H177" s="3"/>
      <c r="I177" s="24"/>
      <c r="J177" s="25">
        <f>H177</f>
        <v>0</v>
      </c>
      <c r="K177" s="25">
        <f>G177*H177</f>
        <v>0</v>
      </c>
      <c r="L177" s="25"/>
      <c r="M177" s="26">
        <f>K177</f>
        <v>0</v>
      </c>
      <c r="O177" s="357"/>
    </row>
    <row r="178" spans="1:15" s="68" customFormat="1" ht="25.5" x14ac:dyDescent="0.25">
      <c r="A178" s="42">
        <f t="shared" si="14"/>
        <v>168</v>
      </c>
      <c r="B178" s="15"/>
      <c r="C178" s="314" t="s">
        <v>104</v>
      </c>
      <c r="D178" s="315" t="s">
        <v>25</v>
      </c>
      <c r="E178" s="316" t="s">
        <v>14</v>
      </c>
      <c r="F178" s="317">
        <v>0.3</v>
      </c>
      <c r="G178" s="318">
        <f>78.72*0.2*F178</f>
        <v>4.72</v>
      </c>
      <c r="H178" s="3"/>
      <c r="I178" s="69"/>
      <c r="J178" s="25">
        <f>H178</f>
        <v>0</v>
      </c>
      <c r="K178" s="25">
        <f>G178*H178</f>
        <v>0</v>
      </c>
      <c r="L178" s="25"/>
      <c r="M178" s="26">
        <f>K178</f>
        <v>0</v>
      </c>
      <c r="O178" s="356"/>
    </row>
    <row r="179" spans="1:15" s="44" customFormat="1" ht="25.5" customHeight="1" x14ac:dyDescent="0.25">
      <c r="A179" s="305">
        <f>ROW()-10</f>
        <v>169</v>
      </c>
      <c r="B179" s="306" t="s">
        <v>113</v>
      </c>
      <c r="C179" s="307" t="s">
        <v>112</v>
      </c>
      <c r="D179" s="36"/>
      <c r="E179" s="308"/>
      <c r="F179" s="309"/>
      <c r="G179" s="310"/>
      <c r="H179" s="39"/>
      <c r="I179" s="37"/>
      <c r="J179" s="28"/>
      <c r="K179" s="28"/>
      <c r="L179" s="28"/>
      <c r="M179" s="40"/>
      <c r="O179" s="355"/>
    </row>
    <row r="180" spans="1:15" s="27" customFormat="1" ht="12.75" x14ac:dyDescent="0.25">
      <c r="A180" s="43">
        <f t="shared" ref="A180:A191" si="15">ROW()-10</f>
        <v>170</v>
      </c>
      <c r="B180" s="14" t="s">
        <v>113</v>
      </c>
      <c r="C180" s="8" t="s">
        <v>16</v>
      </c>
      <c r="D180" s="5" t="s">
        <v>22</v>
      </c>
      <c r="E180" s="6" t="s">
        <v>8</v>
      </c>
      <c r="F180" s="7">
        <v>1</v>
      </c>
      <c r="G180" s="18">
        <v>69</v>
      </c>
      <c r="H180" s="2"/>
      <c r="I180" s="4"/>
      <c r="J180" s="21">
        <f>I180</f>
        <v>0</v>
      </c>
      <c r="K180" s="21"/>
      <c r="L180" s="21">
        <f>G180*I180</f>
        <v>0</v>
      </c>
      <c r="M180" s="22">
        <f>L180</f>
        <v>0</v>
      </c>
      <c r="O180" s="357"/>
    </row>
    <row r="181" spans="1:15" s="27" customFormat="1" ht="25.5" x14ac:dyDescent="0.25">
      <c r="A181" s="41">
        <f t="shared" si="15"/>
        <v>171</v>
      </c>
      <c r="B181" s="38" t="s">
        <v>59</v>
      </c>
      <c r="C181" s="314" t="s">
        <v>58</v>
      </c>
      <c r="D181" s="315" t="s">
        <v>25</v>
      </c>
      <c r="E181" s="316" t="s">
        <v>8</v>
      </c>
      <c r="F181" s="317">
        <v>1.07</v>
      </c>
      <c r="G181" s="9">
        <f>G180*F181</f>
        <v>73.83</v>
      </c>
      <c r="H181" s="3"/>
      <c r="I181" s="24"/>
      <c r="J181" s="25">
        <f>H181</f>
        <v>0</v>
      </c>
      <c r="K181" s="25">
        <f>G181*H181</f>
        <v>0</v>
      </c>
      <c r="L181" s="25"/>
      <c r="M181" s="26">
        <f>K181</f>
        <v>0</v>
      </c>
      <c r="O181" s="357"/>
    </row>
    <row r="182" spans="1:15" s="27" customFormat="1" ht="25.5" x14ac:dyDescent="0.25">
      <c r="A182" s="42">
        <f t="shared" si="15"/>
        <v>172</v>
      </c>
      <c r="B182" s="15"/>
      <c r="C182" s="314" t="s">
        <v>9</v>
      </c>
      <c r="D182" s="315" t="s">
        <v>25</v>
      </c>
      <c r="E182" s="316" t="s">
        <v>10</v>
      </c>
      <c r="F182" s="317">
        <v>12</v>
      </c>
      <c r="G182" s="9">
        <f>G180*F182</f>
        <v>828</v>
      </c>
      <c r="H182" s="3"/>
      <c r="I182" s="24"/>
      <c r="J182" s="25">
        <f>H182</f>
        <v>0</v>
      </c>
      <c r="K182" s="25">
        <f>G182*H182</f>
        <v>0</v>
      </c>
      <c r="L182" s="25"/>
      <c r="M182" s="26">
        <f>K182</f>
        <v>0</v>
      </c>
      <c r="O182" s="357"/>
    </row>
    <row r="183" spans="1:15" s="27" customFormat="1" ht="25.5" x14ac:dyDescent="0.25">
      <c r="A183" s="42">
        <f t="shared" si="15"/>
        <v>173</v>
      </c>
      <c r="B183" s="15"/>
      <c r="C183" s="314" t="s">
        <v>11</v>
      </c>
      <c r="D183" s="315" t="s">
        <v>25</v>
      </c>
      <c r="E183" s="316" t="s">
        <v>10</v>
      </c>
      <c r="F183" s="317">
        <v>0.25</v>
      </c>
      <c r="G183" s="9">
        <f>G180*F183</f>
        <v>17.25</v>
      </c>
      <c r="H183" s="3"/>
      <c r="I183" s="24"/>
      <c r="J183" s="25">
        <f>H183</f>
        <v>0</v>
      </c>
      <c r="K183" s="25">
        <f>G183*H183</f>
        <v>0</v>
      </c>
      <c r="L183" s="25"/>
      <c r="M183" s="26">
        <f>K183</f>
        <v>0</v>
      </c>
      <c r="O183" s="357"/>
    </row>
    <row r="184" spans="1:15" s="27" customFormat="1" ht="12.75" x14ac:dyDescent="0.25">
      <c r="A184" s="43">
        <f t="shared" ref="A184:A194" si="16">ROW()-10</f>
        <v>174</v>
      </c>
      <c r="B184" s="14" t="s">
        <v>113</v>
      </c>
      <c r="C184" s="8" t="s">
        <v>62</v>
      </c>
      <c r="D184" s="5" t="s">
        <v>22</v>
      </c>
      <c r="E184" s="6" t="s">
        <v>8</v>
      </c>
      <c r="F184" s="7">
        <v>1</v>
      </c>
      <c r="G184" s="18">
        <v>5.8</v>
      </c>
      <c r="H184" s="2"/>
      <c r="I184" s="4"/>
      <c r="J184" s="21">
        <f>I184</f>
        <v>0</v>
      </c>
      <c r="K184" s="21"/>
      <c r="L184" s="21">
        <f>G184*I184</f>
        <v>0</v>
      </c>
      <c r="M184" s="22">
        <f>L184</f>
        <v>0</v>
      </c>
      <c r="O184" s="357"/>
    </row>
    <row r="185" spans="1:15" s="27" customFormat="1" ht="25.5" x14ac:dyDescent="0.25">
      <c r="A185" s="41">
        <f t="shared" si="16"/>
        <v>175</v>
      </c>
      <c r="B185" s="38" t="s">
        <v>64</v>
      </c>
      <c r="C185" s="314" t="s">
        <v>67</v>
      </c>
      <c r="D185" s="315" t="s">
        <v>25</v>
      </c>
      <c r="E185" s="316" t="s">
        <v>8</v>
      </c>
      <c r="F185" s="317">
        <v>1.07</v>
      </c>
      <c r="G185" s="9">
        <f>G184*F185</f>
        <v>6.21</v>
      </c>
      <c r="H185" s="3"/>
      <c r="I185" s="24"/>
      <c r="J185" s="25">
        <f>H185</f>
        <v>0</v>
      </c>
      <c r="K185" s="25">
        <f>G185*H185</f>
        <v>0</v>
      </c>
      <c r="L185" s="25"/>
      <c r="M185" s="26">
        <f>K185</f>
        <v>0</v>
      </c>
      <c r="O185" s="357"/>
    </row>
    <row r="186" spans="1:15" s="27" customFormat="1" ht="25.5" x14ac:dyDescent="0.25">
      <c r="A186" s="42">
        <f t="shared" si="16"/>
        <v>176</v>
      </c>
      <c r="B186" s="15"/>
      <c r="C186" s="314" t="s">
        <v>9</v>
      </c>
      <c r="D186" s="315" t="s">
        <v>25</v>
      </c>
      <c r="E186" s="316" t="s">
        <v>10</v>
      </c>
      <c r="F186" s="317">
        <v>12</v>
      </c>
      <c r="G186" s="9">
        <f>G184*F186</f>
        <v>69.599999999999994</v>
      </c>
      <c r="H186" s="3"/>
      <c r="I186" s="24"/>
      <c r="J186" s="25">
        <f>H186</f>
        <v>0</v>
      </c>
      <c r="K186" s="25">
        <f>G186*H186</f>
        <v>0</v>
      </c>
      <c r="L186" s="25"/>
      <c r="M186" s="26">
        <f>K186</f>
        <v>0</v>
      </c>
      <c r="O186" s="357"/>
    </row>
    <row r="187" spans="1:15" s="27" customFormat="1" ht="25.5" x14ac:dyDescent="0.25">
      <c r="A187" s="42">
        <f t="shared" si="16"/>
        <v>177</v>
      </c>
      <c r="B187" s="15"/>
      <c r="C187" s="314" t="s">
        <v>11</v>
      </c>
      <c r="D187" s="315" t="s">
        <v>25</v>
      </c>
      <c r="E187" s="316" t="s">
        <v>10</v>
      </c>
      <c r="F187" s="317">
        <v>0.25</v>
      </c>
      <c r="G187" s="9">
        <f>G184*F187</f>
        <v>1.45</v>
      </c>
      <c r="H187" s="3"/>
      <c r="I187" s="24"/>
      <c r="J187" s="25">
        <f>H187</f>
        <v>0</v>
      </c>
      <c r="K187" s="25">
        <f>G187*H187</f>
        <v>0</v>
      </c>
      <c r="L187" s="25"/>
      <c r="M187" s="26">
        <f>K187</f>
        <v>0</v>
      </c>
      <c r="O187" s="357"/>
    </row>
    <row r="188" spans="1:15" s="27" customFormat="1" ht="25.5" x14ac:dyDescent="0.25">
      <c r="A188" s="43">
        <f t="shared" si="15"/>
        <v>178</v>
      </c>
      <c r="B188" s="14" t="s">
        <v>113</v>
      </c>
      <c r="C188" s="8" t="s">
        <v>17</v>
      </c>
      <c r="D188" s="5" t="s">
        <v>22</v>
      </c>
      <c r="E188" s="6" t="s">
        <v>12</v>
      </c>
      <c r="F188" s="7">
        <v>1</v>
      </c>
      <c r="G188" s="18">
        <f>63+5.9</f>
        <v>68.900000000000006</v>
      </c>
      <c r="H188" s="2"/>
      <c r="I188" s="4"/>
      <c r="J188" s="21">
        <f>I188</f>
        <v>0</v>
      </c>
      <c r="K188" s="21"/>
      <c r="L188" s="21">
        <f>G188*I188</f>
        <v>0</v>
      </c>
      <c r="M188" s="22">
        <f>L188</f>
        <v>0</v>
      </c>
      <c r="O188" s="357"/>
    </row>
    <row r="189" spans="1:15" s="27" customFormat="1" ht="25.5" x14ac:dyDescent="0.25">
      <c r="A189" s="42">
        <f t="shared" si="15"/>
        <v>179</v>
      </c>
      <c r="B189" s="15" t="s">
        <v>65</v>
      </c>
      <c r="C189" s="314" t="s">
        <v>66</v>
      </c>
      <c r="D189" s="315" t="s">
        <v>25</v>
      </c>
      <c r="E189" s="316" t="s">
        <v>8</v>
      </c>
      <c r="F189" s="317">
        <v>1.07</v>
      </c>
      <c r="G189" s="9">
        <f>G188*0.1*F189</f>
        <v>7.37</v>
      </c>
      <c r="H189" s="3"/>
      <c r="I189" s="24"/>
      <c r="J189" s="25">
        <f>H189</f>
        <v>0</v>
      </c>
      <c r="K189" s="25">
        <f>G189*H189</f>
        <v>0</v>
      </c>
      <c r="L189" s="25"/>
      <c r="M189" s="26">
        <f>K189</f>
        <v>0</v>
      </c>
      <c r="O189" s="357"/>
    </row>
    <row r="190" spans="1:15" s="27" customFormat="1" ht="25.5" x14ac:dyDescent="0.25">
      <c r="A190" s="42">
        <f t="shared" si="15"/>
        <v>180</v>
      </c>
      <c r="B190" s="15"/>
      <c r="C190" s="314" t="s">
        <v>9</v>
      </c>
      <c r="D190" s="315" t="s">
        <v>25</v>
      </c>
      <c r="E190" s="316" t="s">
        <v>10</v>
      </c>
      <c r="F190" s="317">
        <v>12</v>
      </c>
      <c r="G190" s="9">
        <f>G188*0.1*F190</f>
        <v>82.68</v>
      </c>
      <c r="H190" s="3"/>
      <c r="I190" s="24"/>
      <c r="J190" s="25">
        <f>H190</f>
        <v>0</v>
      </c>
      <c r="K190" s="25">
        <f>G190*H190</f>
        <v>0</v>
      </c>
      <c r="L190" s="25"/>
      <c r="M190" s="26">
        <f>K190</f>
        <v>0</v>
      </c>
      <c r="O190" s="357"/>
    </row>
    <row r="191" spans="1:15" s="27" customFormat="1" ht="25.5" x14ac:dyDescent="0.25">
      <c r="A191" s="42">
        <f t="shared" si="15"/>
        <v>181</v>
      </c>
      <c r="B191" s="15"/>
      <c r="C191" s="314" t="s">
        <v>11</v>
      </c>
      <c r="D191" s="315" t="s">
        <v>25</v>
      </c>
      <c r="E191" s="316" t="s">
        <v>10</v>
      </c>
      <c r="F191" s="317">
        <v>0.25</v>
      </c>
      <c r="G191" s="9">
        <f>G188*0.1*F191</f>
        <v>1.72</v>
      </c>
      <c r="H191" s="3"/>
      <c r="I191" s="24"/>
      <c r="J191" s="25">
        <f>H191</f>
        <v>0</v>
      </c>
      <c r="K191" s="25">
        <f>G191*H191</f>
        <v>0</v>
      </c>
      <c r="L191" s="25"/>
      <c r="M191" s="26">
        <f>K191</f>
        <v>0</v>
      </c>
      <c r="O191" s="357"/>
    </row>
    <row r="192" spans="1:15" s="27" customFormat="1" ht="12.75" x14ac:dyDescent="0.25">
      <c r="A192" s="43">
        <f t="shared" si="16"/>
        <v>182</v>
      </c>
      <c r="B192" s="14" t="s">
        <v>113</v>
      </c>
      <c r="C192" s="8" t="s">
        <v>76</v>
      </c>
      <c r="D192" s="5" t="s">
        <v>22</v>
      </c>
      <c r="E192" s="6" t="s">
        <v>12</v>
      </c>
      <c r="F192" s="7">
        <v>1</v>
      </c>
      <c r="G192" s="18">
        <v>3.9</v>
      </c>
      <c r="H192" s="2"/>
      <c r="I192" s="4"/>
      <c r="J192" s="21">
        <f>I192</f>
        <v>0</v>
      </c>
      <c r="K192" s="21"/>
      <c r="L192" s="21">
        <f>G192*I192</f>
        <v>0</v>
      </c>
      <c r="M192" s="22">
        <f>L192</f>
        <v>0</v>
      </c>
      <c r="O192" s="357"/>
    </row>
    <row r="193" spans="1:16" s="27" customFormat="1" ht="25.5" x14ac:dyDescent="0.25">
      <c r="A193" s="42">
        <f t="shared" si="16"/>
        <v>183</v>
      </c>
      <c r="B193" s="15"/>
      <c r="C193" s="314" t="s">
        <v>130</v>
      </c>
      <c r="D193" s="315" t="s">
        <v>25</v>
      </c>
      <c r="E193" s="316" t="s">
        <v>14</v>
      </c>
      <c r="F193" s="317">
        <v>0.3</v>
      </c>
      <c r="G193" s="9">
        <f>G192*0.1*F193</f>
        <v>0.12</v>
      </c>
      <c r="H193" s="3"/>
      <c r="I193" s="24"/>
      <c r="J193" s="25">
        <f>H193</f>
        <v>0</v>
      </c>
      <c r="K193" s="25">
        <f>G193*H193</f>
        <v>0</v>
      </c>
      <c r="L193" s="25"/>
      <c r="M193" s="26">
        <f>K193</f>
        <v>0</v>
      </c>
      <c r="O193" s="357"/>
    </row>
    <row r="194" spans="1:16" s="27" customFormat="1" ht="26.25" thickBot="1" x14ac:dyDescent="0.3">
      <c r="A194" s="42">
        <f t="shared" si="16"/>
        <v>184</v>
      </c>
      <c r="B194" s="15"/>
      <c r="C194" s="314" t="s">
        <v>13</v>
      </c>
      <c r="D194" s="315" t="s">
        <v>25</v>
      </c>
      <c r="E194" s="316" t="s">
        <v>14</v>
      </c>
      <c r="F194" s="317">
        <v>0.1</v>
      </c>
      <c r="G194" s="9">
        <f>G192*0.1*F194</f>
        <v>0.04</v>
      </c>
      <c r="H194" s="3"/>
      <c r="I194" s="24"/>
      <c r="J194" s="25">
        <f>H194</f>
        <v>0</v>
      </c>
      <c r="K194" s="25">
        <f>G194*H194</f>
        <v>0</v>
      </c>
      <c r="L194" s="25"/>
      <c r="M194" s="26">
        <f>K194</f>
        <v>0</v>
      </c>
      <c r="O194" s="357"/>
    </row>
    <row r="195" spans="1:16" s="29" customFormat="1" ht="14.25" x14ac:dyDescent="0.25">
      <c r="A195" s="56"/>
      <c r="B195" s="57"/>
      <c r="C195" s="58" t="s">
        <v>135</v>
      </c>
      <c r="D195" s="59"/>
      <c r="E195" s="59"/>
      <c r="F195" s="59"/>
      <c r="G195" s="59"/>
      <c r="H195" s="59"/>
      <c r="I195" s="59"/>
      <c r="J195" s="59"/>
      <c r="K195" s="59">
        <f>SUM(K11:K194)</f>
        <v>0</v>
      </c>
      <c r="L195" s="59">
        <f>SUM(L11:L194)</f>
        <v>0</v>
      </c>
      <c r="M195" s="60">
        <f>SUM(M11:M194)</f>
        <v>0</v>
      </c>
      <c r="N195" s="67"/>
      <c r="O195" s="359"/>
      <c r="P195" s="67"/>
    </row>
    <row r="196" spans="1:16" ht="15.75" thickBot="1" x14ac:dyDescent="0.3">
      <c r="A196" s="61"/>
      <c r="B196" s="62"/>
      <c r="C196" s="63" t="s">
        <v>136</v>
      </c>
      <c r="D196" s="64"/>
      <c r="E196" s="65"/>
      <c r="F196" s="65"/>
      <c r="G196" s="65"/>
      <c r="H196" s="65"/>
      <c r="I196" s="65"/>
      <c r="J196" s="66"/>
      <c r="K196" s="65"/>
      <c r="L196" s="65"/>
      <c r="M196" s="72">
        <f>M195*0.22/1.22</f>
        <v>0</v>
      </c>
      <c r="O196" s="360"/>
    </row>
    <row r="197" spans="1:16" x14ac:dyDescent="0.25">
      <c r="A197" s="333" t="s">
        <v>142</v>
      </c>
      <c r="B197" s="334"/>
      <c r="C197" s="334"/>
      <c r="D197" s="334"/>
      <c r="E197" s="334"/>
      <c r="F197" s="334"/>
      <c r="G197" s="335"/>
      <c r="H197" s="336"/>
      <c r="I197" s="336"/>
      <c r="J197" s="337"/>
      <c r="K197" s="337"/>
      <c r="L197" s="337"/>
      <c r="M197" s="338"/>
      <c r="O197" s="360"/>
    </row>
    <row r="198" spans="1:16" x14ac:dyDescent="0.2">
      <c r="A198" s="362">
        <v>1</v>
      </c>
      <c r="B198" s="363"/>
      <c r="C198" s="364" t="s">
        <v>143</v>
      </c>
      <c r="D198" s="365"/>
      <c r="E198" s="366"/>
      <c r="F198" s="366"/>
      <c r="G198" s="367"/>
      <c r="H198" s="368"/>
      <c r="I198" s="369"/>
      <c r="J198" s="370"/>
      <c r="K198" s="370"/>
      <c r="L198" s="370"/>
      <c r="M198" s="371"/>
      <c r="O198" s="360"/>
    </row>
    <row r="199" spans="1:16" x14ac:dyDescent="0.2">
      <c r="A199" s="372">
        <v>2</v>
      </c>
      <c r="B199" s="373"/>
      <c r="C199" s="374" t="s">
        <v>144</v>
      </c>
      <c r="D199" s="375"/>
      <c r="E199" s="376"/>
      <c r="F199" s="376"/>
      <c r="G199" s="377"/>
      <c r="H199" s="368"/>
      <c r="I199" s="369"/>
      <c r="J199" s="370"/>
      <c r="K199" s="370"/>
      <c r="L199" s="370"/>
      <c r="M199" s="371"/>
      <c r="O199" s="360"/>
    </row>
    <row r="200" spans="1:16" x14ac:dyDescent="0.2">
      <c r="A200" s="372">
        <v>3</v>
      </c>
      <c r="B200" s="363"/>
      <c r="C200" s="374" t="s">
        <v>145</v>
      </c>
      <c r="D200" s="375"/>
      <c r="E200" s="376"/>
      <c r="F200" s="376"/>
      <c r="G200" s="377"/>
      <c r="H200" s="368"/>
      <c r="I200" s="369"/>
      <c r="J200" s="370"/>
      <c r="K200" s="370"/>
      <c r="L200" s="370"/>
      <c r="M200" s="371"/>
      <c r="O200" s="360"/>
    </row>
    <row r="201" spans="1:16" ht="25.5" x14ac:dyDescent="0.2">
      <c r="A201" s="372">
        <v>4</v>
      </c>
      <c r="B201" s="373"/>
      <c r="C201" s="374" t="s">
        <v>146</v>
      </c>
      <c r="D201" s="375"/>
      <c r="E201" s="376"/>
      <c r="F201" s="376"/>
      <c r="G201" s="377"/>
      <c r="H201" s="368"/>
      <c r="I201" s="369"/>
      <c r="J201" s="370"/>
      <c r="K201" s="370"/>
      <c r="L201" s="370"/>
      <c r="M201" s="371"/>
      <c r="O201" s="360"/>
    </row>
    <row r="202" spans="1:16" ht="25.5" x14ac:dyDescent="0.2">
      <c r="A202" s="372">
        <v>5</v>
      </c>
      <c r="B202" s="363"/>
      <c r="C202" s="374" t="s">
        <v>147</v>
      </c>
      <c r="D202" s="375"/>
      <c r="E202" s="376"/>
      <c r="F202" s="376"/>
      <c r="G202" s="377"/>
      <c r="H202" s="368"/>
      <c r="I202" s="369"/>
      <c r="J202" s="370"/>
      <c r="K202" s="370"/>
      <c r="L202" s="370"/>
      <c r="M202" s="371"/>
      <c r="O202" s="360"/>
    </row>
    <row r="203" spans="1:16" x14ac:dyDescent="0.2">
      <c r="A203" s="372">
        <v>6</v>
      </c>
      <c r="B203" s="373"/>
      <c r="C203" s="374" t="s">
        <v>148</v>
      </c>
      <c r="D203" s="375"/>
      <c r="E203" s="376"/>
      <c r="F203" s="376"/>
      <c r="G203" s="377"/>
      <c r="H203" s="368"/>
      <c r="I203" s="369"/>
      <c r="J203" s="370"/>
      <c r="K203" s="370"/>
      <c r="L203" s="370"/>
      <c r="M203" s="371"/>
      <c r="O203" s="360"/>
    </row>
    <row r="204" spans="1:16" x14ac:dyDescent="0.2">
      <c r="A204" s="372">
        <v>7</v>
      </c>
      <c r="B204" s="363"/>
      <c r="C204" s="374" t="s">
        <v>149</v>
      </c>
      <c r="D204" s="375"/>
      <c r="E204" s="376"/>
      <c r="F204" s="376"/>
      <c r="G204" s="377"/>
      <c r="H204" s="368"/>
      <c r="I204" s="369"/>
      <c r="J204" s="370"/>
      <c r="K204" s="370"/>
      <c r="L204" s="370"/>
      <c r="M204" s="371"/>
      <c r="O204" s="360"/>
    </row>
    <row r="205" spans="1:16" x14ac:dyDescent="0.2">
      <c r="A205" s="372">
        <v>8</v>
      </c>
      <c r="B205" s="373"/>
      <c r="C205" s="374" t="s">
        <v>150</v>
      </c>
      <c r="D205" s="375"/>
      <c r="E205" s="376"/>
      <c r="F205" s="376"/>
      <c r="G205" s="377"/>
      <c r="H205" s="368"/>
      <c r="I205" s="369"/>
      <c r="J205" s="370"/>
      <c r="K205" s="370"/>
      <c r="L205" s="370"/>
      <c r="M205" s="371"/>
      <c r="O205" s="360"/>
    </row>
    <row r="206" spans="1:16" x14ac:dyDescent="0.2">
      <c r="A206" s="372">
        <v>9</v>
      </c>
      <c r="B206" s="363"/>
      <c r="C206" s="374" t="s">
        <v>151</v>
      </c>
      <c r="D206" s="375"/>
      <c r="E206" s="376"/>
      <c r="F206" s="376"/>
      <c r="G206" s="377"/>
      <c r="H206" s="368"/>
      <c r="I206" s="369"/>
      <c r="J206" s="370"/>
      <c r="K206" s="370"/>
      <c r="L206" s="370"/>
      <c r="M206" s="371"/>
      <c r="O206" s="360"/>
    </row>
    <row r="207" spans="1:16" ht="25.5" x14ac:dyDescent="0.2">
      <c r="A207" s="372">
        <v>10</v>
      </c>
      <c r="B207" s="373"/>
      <c r="C207" s="378" t="s">
        <v>152</v>
      </c>
      <c r="D207" s="379"/>
      <c r="E207" s="376"/>
      <c r="F207" s="376"/>
      <c r="G207" s="377"/>
      <c r="H207" s="368"/>
      <c r="I207" s="369"/>
      <c r="J207" s="370"/>
      <c r="K207" s="370"/>
      <c r="L207" s="370"/>
      <c r="M207" s="371"/>
      <c r="O207" s="360"/>
    </row>
    <row r="208" spans="1:16" ht="15.75" thickBot="1" x14ac:dyDescent="0.25">
      <c r="A208" s="380">
        <v>11</v>
      </c>
      <c r="B208" s="381"/>
      <c r="C208" s="382" t="s">
        <v>153</v>
      </c>
      <c r="D208" s="383"/>
      <c r="E208" s="384"/>
      <c r="F208" s="384"/>
      <c r="G208" s="385"/>
      <c r="H208" s="386"/>
      <c r="I208" s="387"/>
      <c r="J208" s="388"/>
      <c r="K208" s="388"/>
      <c r="L208" s="388"/>
      <c r="M208" s="389"/>
      <c r="O208" s="361"/>
    </row>
    <row r="209" spans="1:13" x14ac:dyDescent="0.25">
      <c r="A209" s="339"/>
      <c r="B209" s="340"/>
      <c r="C209" s="341"/>
      <c r="D209" s="339"/>
      <c r="E209" s="340"/>
      <c r="F209" s="340"/>
      <c r="H209" s="340"/>
      <c r="I209" s="340"/>
      <c r="J209" s="342"/>
      <c r="K209" s="340"/>
      <c r="L209" s="340"/>
      <c r="M209" s="340"/>
    </row>
    <row r="210" spans="1:13" ht="81.75" customHeight="1" x14ac:dyDescent="0.25">
      <c r="A210" s="343" t="s">
        <v>156</v>
      </c>
      <c r="B210" s="344"/>
      <c r="C210" s="344"/>
      <c r="D210" s="344"/>
      <c r="E210" s="344"/>
      <c r="F210" s="344"/>
      <c r="G210" s="344"/>
      <c r="H210" s="344"/>
      <c r="I210" s="344"/>
      <c r="J210" s="344"/>
      <c r="K210" s="344"/>
      <c r="L210" s="344"/>
      <c r="M210" s="344"/>
    </row>
    <row r="211" spans="1:13" ht="62.25" customHeight="1" x14ac:dyDescent="0.2">
      <c r="A211" s="263"/>
      <c r="B211" s="263"/>
      <c r="C211" s="264" t="s">
        <v>154</v>
      </c>
      <c r="D211" s="264"/>
      <c r="E211" s="264"/>
      <c r="F211" s="264"/>
      <c r="G211" s="264"/>
      <c r="H211" s="264"/>
      <c r="I211" s="345"/>
      <c r="J211" s="345"/>
      <c r="K211" s="346"/>
      <c r="L211" s="345"/>
      <c r="M211" s="347"/>
    </row>
  </sheetData>
  <sheetProtection algorithmName="SHA-512" hashValue="BbkgfEkWLdYFirw6K944CQ6mHg7zu9hjG0ymSU3CzxD1ZIh6Lle20sUxBfjruyhWUv4Pz8V3TvaX3/ACqEMCvQ==" saltValue="4nhVEJsP/gjDaqENI+MzGQ==" spinCount="100000" sheet="1" autoFilter="0"/>
  <autoFilter ref="A10:M208" xr:uid="{00000000-0001-0000-0000-000000000000}"/>
  <mergeCells count="16">
    <mergeCell ref="A210:M210"/>
    <mergeCell ref="O8:O10"/>
    <mergeCell ref="H8:I8"/>
    <mergeCell ref="J8:J9"/>
    <mergeCell ref="K8:L8"/>
    <mergeCell ref="M8:M9"/>
    <mergeCell ref="A4:M4"/>
    <mergeCell ref="A5:M5"/>
    <mergeCell ref="A6:M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scale="2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8F6E7-226B-40EC-9124-FF5131CF0B6E}">
  <dimension ref="A1:P212"/>
  <sheetViews>
    <sheetView view="pageBreakPreview" zoomScale="90" zoomScaleNormal="85" zoomScaleSheetLayoutView="90" workbookViewId="0">
      <selection activeCell="F15" sqref="F15"/>
    </sheetView>
  </sheetViews>
  <sheetFormatPr defaultColWidth="9.140625" defaultRowHeight="15" x14ac:dyDescent="0.25"/>
  <cols>
    <col min="1" max="1" width="9.5703125" style="17" customWidth="1"/>
    <col min="2" max="2" width="16.42578125" style="16" customWidth="1"/>
    <col min="3" max="3" width="42.85546875" style="11" customWidth="1"/>
    <col min="4" max="4" width="17" style="10" customWidth="1"/>
    <col min="5" max="5" width="9.7109375" style="1" customWidth="1"/>
    <col min="6" max="6" width="9.5703125" style="1" customWidth="1"/>
    <col min="7" max="7" width="10.7109375" style="1" customWidth="1"/>
    <col min="8" max="9" width="13.7109375" style="1" customWidth="1"/>
    <col min="10" max="10" width="14.7109375" style="12" customWidth="1"/>
    <col min="11" max="11" width="13.28515625" style="1" customWidth="1"/>
    <col min="12" max="12" width="14.7109375" style="1" customWidth="1"/>
    <col min="13" max="13" width="17.28515625" style="1" customWidth="1"/>
    <col min="14" max="14" width="2.7109375" style="19" customWidth="1"/>
    <col min="15" max="15" width="62.140625" style="350" customWidth="1"/>
    <col min="16" max="16" width="2.7109375" style="19" customWidth="1"/>
    <col min="17" max="16384" width="9.140625" style="19"/>
  </cols>
  <sheetData>
    <row r="1" spans="1:15" s="265" customFormat="1" ht="15.75" x14ac:dyDescent="0.2">
      <c r="A1" s="263"/>
      <c r="B1" s="263"/>
      <c r="C1" s="264"/>
      <c r="D1" s="264"/>
      <c r="E1" s="264"/>
      <c r="F1" s="264"/>
      <c r="G1" s="264"/>
      <c r="H1" s="264"/>
      <c r="J1" s="266"/>
      <c r="K1" s="267"/>
      <c r="L1" s="267"/>
      <c r="M1" s="268" t="s">
        <v>55</v>
      </c>
      <c r="O1" s="348"/>
    </row>
    <row r="2" spans="1:15" s="265" customFormat="1" ht="15.75" customHeight="1" x14ac:dyDescent="0.2">
      <c r="A2" s="263"/>
      <c r="B2" s="263"/>
      <c r="C2" s="264"/>
      <c r="D2" s="264"/>
      <c r="E2" s="264"/>
      <c r="F2" s="264"/>
      <c r="G2" s="264"/>
      <c r="H2" s="264"/>
      <c r="J2" s="266"/>
      <c r="K2" s="267"/>
      <c r="L2" s="267"/>
      <c r="M2" s="268" t="s">
        <v>56</v>
      </c>
      <c r="O2" s="348"/>
    </row>
    <row r="3" spans="1:15" s="265" customFormat="1" ht="15.75" customHeight="1" x14ac:dyDescent="0.2">
      <c r="A3" s="263"/>
      <c r="B3" s="263"/>
      <c r="C3" s="264"/>
      <c r="D3" s="264"/>
      <c r="E3" s="264"/>
      <c r="F3" s="264"/>
      <c r="G3" s="264"/>
      <c r="H3" s="264"/>
      <c r="J3" s="266"/>
      <c r="K3" s="267"/>
      <c r="L3" s="267"/>
      <c r="M3" s="268"/>
      <c r="O3" s="348"/>
    </row>
    <row r="4" spans="1:15" s="271" customFormat="1" ht="20.25" x14ac:dyDescent="0.25">
      <c r="A4" s="269" t="s">
        <v>57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70"/>
      <c r="O4" s="349"/>
    </row>
    <row r="5" spans="1:15" ht="18.75" customHeight="1" x14ac:dyDescent="0.25">
      <c r="A5" s="74" t="s">
        <v>54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1:15" ht="15.75" x14ac:dyDescent="0.25">
      <c r="A6" s="75" t="s">
        <v>80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</row>
    <row r="7" spans="1:15" ht="16.5" thickBot="1" x14ac:dyDescent="0.3">
      <c r="A7" s="13"/>
      <c r="B7" s="1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</row>
    <row r="8" spans="1:15" ht="15" customHeight="1" x14ac:dyDescent="0.25">
      <c r="A8" s="272" t="s">
        <v>137</v>
      </c>
      <c r="B8" s="273" t="s">
        <v>0</v>
      </c>
      <c r="C8" s="274" t="s">
        <v>4</v>
      </c>
      <c r="D8" s="274" t="s">
        <v>1</v>
      </c>
      <c r="E8" s="274" t="s">
        <v>5</v>
      </c>
      <c r="F8" s="275" t="s">
        <v>6</v>
      </c>
      <c r="G8" s="276" t="s">
        <v>3</v>
      </c>
      <c r="H8" s="277" t="s">
        <v>138</v>
      </c>
      <c r="I8" s="278"/>
      <c r="J8" s="278" t="s">
        <v>139</v>
      </c>
      <c r="K8" s="278" t="s">
        <v>140</v>
      </c>
      <c r="L8" s="278"/>
      <c r="M8" s="279" t="s">
        <v>141</v>
      </c>
      <c r="O8" s="351" t="s">
        <v>155</v>
      </c>
    </row>
    <row r="9" spans="1:15" ht="36.75" customHeight="1" thickBot="1" x14ac:dyDescent="0.3">
      <c r="A9" s="280"/>
      <c r="B9" s="281"/>
      <c r="C9" s="282"/>
      <c r="D9" s="282"/>
      <c r="E9" s="282"/>
      <c r="F9" s="283"/>
      <c r="G9" s="284"/>
      <c r="H9" s="285" t="s">
        <v>2</v>
      </c>
      <c r="I9" s="286" t="s">
        <v>7</v>
      </c>
      <c r="J9" s="287"/>
      <c r="K9" s="286" t="s">
        <v>2</v>
      </c>
      <c r="L9" s="286" t="s">
        <v>7</v>
      </c>
      <c r="M9" s="288"/>
      <c r="O9" s="352"/>
    </row>
    <row r="10" spans="1:15" s="20" customFormat="1" ht="12.75" x14ac:dyDescent="0.25">
      <c r="A10" s="31">
        <v>1</v>
      </c>
      <c r="B10" s="32">
        <v>2</v>
      </c>
      <c r="C10" s="32">
        <v>3</v>
      </c>
      <c r="D10" s="32">
        <v>4</v>
      </c>
      <c r="E10" s="32">
        <v>5</v>
      </c>
      <c r="F10" s="33">
        <v>6</v>
      </c>
      <c r="G10" s="35">
        <v>9</v>
      </c>
      <c r="H10" s="34" t="s">
        <v>26</v>
      </c>
      <c r="I10" s="35" t="s">
        <v>27</v>
      </c>
      <c r="J10" s="34" t="s">
        <v>28</v>
      </c>
      <c r="K10" s="35" t="s">
        <v>29</v>
      </c>
      <c r="L10" s="34" t="s">
        <v>30</v>
      </c>
      <c r="M10" s="35" t="s">
        <v>31</v>
      </c>
      <c r="O10" s="352"/>
    </row>
    <row r="11" spans="1:15" s="23" customFormat="1" ht="12.75" x14ac:dyDescent="0.25">
      <c r="A11" s="289">
        <f>ROW()-10</f>
        <v>1</v>
      </c>
      <c r="B11" s="290" t="s">
        <v>84</v>
      </c>
      <c r="C11" s="291" t="s">
        <v>85</v>
      </c>
      <c r="D11" s="45"/>
      <c r="E11" s="292"/>
      <c r="F11" s="293"/>
      <c r="G11" s="294"/>
      <c r="H11" s="295"/>
      <c r="I11" s="296"/>
      <c r="J11" s="46"/>
      <c r="K11" s="46"/>
      <c r="L11" s="46"/>
      <c r="M11" s="47"/>
      <c r="O11" s="354"/>
    </row>
    <row r="12" spans="1:15" s="23" customFormat="1" ht="12.75" x14ac:dyDescent="0.25">
      <c r="A12" s="297">
        <f>ROW()-10</f>
        <v>2</v>
      </c>
      <c r="B12" s="298" t="s">
        <v>84</v>
      </c>
      <c r="C12" s="299" t="s">
        <v>86</v>
      </c>
      <c r="D12" s="48"/>
      <c r="E12" s="300"/>
      <c r="F12" s="301"/>
      <c r="G12" s="302"/>
      <c r="H12" s="303"/>
      <c r="I12" s="304"/>
      <c r="J12" s="51"/>
      <c r="K12" s="51"/>
      <c r="L12" s="51"/>
      <c r="M12" s="52"/>
      <c r="O12" s="354"/>
    </row>
    <row r="13" spans="1:15" s="44" customFormat="1" ht="25.5" customHeight="1" x14ac:dyDescent="0.25">
      <c r="A13" s="305">
        <f>ROW()-10</f>
        <v>3</v>
      </c>
      <c r="B13" s="306" t="s">
        <v>87</v>
      </c>
      <c r="C13" s="307" t="s">
        <v>88</v>
      </c>
      <c r="D13" s="36"/>
      <c r="E13" s="308"/>
      <c r="F13" s="309"/>
      <c r="G13" s="310"/>
      <c r="H13" s="311"/>
      <c r="I13" s="312"/>
      <c r="J13" s="28"/>
      <c r="K13" s="28"/>
      <c r="L13" s="28"/>
      <c r="M13" s="40"/>
      <c r="O13" s="355"/>
    </row>
    <row r="14" spans="1:15" s="23" customFormat="1" ht="25.5" x14ac:dyDescent="0.25">
      <c r="A14" s="43">
        <f t="shared" ref="A14:A39" si="0">ROW()-10</f>
        <v>4</v>
      </c>
      <c r="B14" s="14" t="s">
        <v>89</v>
      </c>
      <c r="C14" s="55" t="s">
        <v>90</v>
      </c>
      <c r="D14" s="5" t="s">
        <v>22</v>
      </c>
      <c r="E14" s="6" t="s">
        <v>8</v>
      </c>
      <c r="F14" s="7">
        <v>1</v>
      </c>
      <c r="G14" s="313">
        <f>21.76+18.34+3.15+11.88+9.2</f>
        <v>64.33</v>
      </c>
      <c r="H14" s="2"/>
      <c r="I14" s="4"/>
      <c r="J14" s="21">
        <f>I14</f>
        <v>0</v>
      </c>
      <c r="K14" s="21"/>
      <c r="L14" s="21">
        <f>G14*I14</f>
        <v>0</v>
      </c>
      <c r="M14" s="22">
        <f>L14</f>
        <v>0</v>
      </c>
      <c r="O14" s="354"/>
    </row>
    <row r="15" spans="1:15" s="68" customFormat="1" ht="25.5" x14ac:dyDescent="0.25">
      <c r="A15" s="42">
        <f t="shared" si="0"/>
        <v>5</v>
      </c>
      <c r="B15" s="15"/>
      <c r="C15" s="314" t="s">
        <v>91</v>
      </c>
      <c r="D15" s="315" t="s">
        <v>25</v>
      </c>
      <c r="E15" s="316" t="s">
        <v>8</v>
      </c>
      <c r="F15" s="317">
        <v>1.05</v>
      </c>
      <c r="G15" s="318">
        <f>(21.76+18.34)*F15*2</f>
        <v>84.21</v>
      </c>
      <c r="H15" s="3"/>
      <c r="I15" s="24"/>
      <c r="J15" s="25">
        <f t="shared" ref="J15:J27" si="1">H15</f>
        <v>0</v>
      </c>
      <c r="K15" s="25">
        <f t="shared" ref="K15:K27" si="2">G15*H15</f>
        <v>0</v>
      </c>
      <c r="L15" s="25"/>
      <c r="M15" s="26">
        <f t="shared" ref="M15:M27" si="3">K15</f>
        <v>0</v>
      </c>
      <c r="O15" s="356"/>
    </row>
    <row r="16" spans="1:15" s="68" customFormat="1" ht="25.5" x14ac:dyDescent="0.25">
      <c r="A16" s="42">
        <f t="shared" si="0"/>
        <v>6</v>
      </c>
      <c r="B16" s="15" t="s">
        <v>93</v>
      </c>
      <c r="C16" s="314" t="s">
        <v>92</v>
      </c>
      <c r="D16" s="315" t="s">
        <v>25</v>
      </c>
      <c r="E16" s="316" t="s">
        <v>8</v>
      </c>
      <c r="F16" s="317">
        <v>1.05</v>
      </c>
      <c r="G16" s="318">
        <f>3.15*F16*2</f>
        <v>6.62</v>
      </c>
      <c r="H16" s="3"/>
      <c r="I16" s="24"/>
      <c r="J16" s="25">
        <f t="shared" si="1"/>
        <v>0</v>
      </c>
      <c r="K16" s="25">
        <f t="shared" si="2"/>
        <v>0</v>
      </c>
      <c r="L16" s="25"/>
      <c r="M16" s="26">
        <f t="shared" si="3"/>
        <v>0</v>
      </c>
      <c r="O16" s="356"/>
    </row>
    <row r="17" spans="1:15" s="68" customFormat="1" ht="25.5" x14ac:dyDescent="0.25">
      <c r="A17" s="42">
        <f t="shared" si="0"/>
        <v>7</v>
      </c>
      <c r="B17" s="15" t="s">
        <v>94</v>
      </c>
      <c r="C17" s="314" t="s">
        <v>95</v>
      </c>
      <c r="D17" s="315" t="s">
        <v>25</v>
      </c>
      <c r="E17" s="316" t="s">
        <v>8</v>
      </c>
      <c r="F17" s="317">
        <v>1.05</v>
      </c>
      <c r="G17" s="318">
        <f>(11.88+9.2)*F17*2</f>
        <v>44.27</v>
      </c>
      <c r="H17" s="3"/>
      <c r="I17" s="24"/>
      <c r="J17" s="25">
        <f t="shared" si="1"/>
        <v>0</v>
      </c>
      <c r="K17" s="25">
        <f t="shared" si="2"/>
        <v>0</v>
      </c>
      <c r="L17" s="25"/>
      <c r="M17" s="26">
        <f t="shared" si="3"/>
        <v>0</v>
      </c>
      <c r="O17" s="356"/>
    </row>
    <row r="18" spans="1:15" s="68" customFormat="1" ht="25.5" x14ac:dyDescent="0.25">
      <c r="A18" s="42">
        <f t="shared" si="0"/>
        <v>8</v>
      </c>
      <c r="B18" s="15"/>
      <c r="C18" s="314" t="s">
        <v>39</v>
      </c>
      <c r="D18" s="315" t="s">
        <v>25</v>
      </c>
      <c r="E18" s="316" t="s">
        <v>12</v>
      </c>
      <c r="F18" s="317">
        <v>2.9</v>
      </c>
      <c r="G18" s="318">
        <f>$G$14*F18</f>
        <v>186.56</v>
      </c>
      <c r="H18" s="3"/>
      <c r="I18" s="24"/>
      <c r="J18" s="25">
        <f t="shared" si="1"/>
        <v>0</v>
      </c>
      <c r="K18" s="25">
        <f t="shared" si="2"/>
        <v>0</v>
      </c>
      <c r="L18" s="25"/>
      <c r="M18" s="26">
        <f t="shared" si="3"/>
        <v>0</v>
      </c>
      <c r="O18" s="356"/>
    </row>
    <row r="19" spans="1:15" s="68" customFormat="1" ht="25.5" x14ac:dyDescent="0.25">
      <c r="A19" s="42">
        <f t="shared" si="0"/>
        <v>9</v>
      </c>
      <c r="B19" s="15"/>
      <c r="C19" s="314" t="s">
        <v>35</v>
      </c>
      <c r="D19" s="315" t="s">
        <v>25</v>
      </c>
      <c r="E19" s="316" t="s">
        <v>12</v>
      </c>
      <c r="F19" s="317">
        <v>1.35</v>
      </c>
      <c r="G19" s="318">
        <f>$G$14*F19</f>
        <v>86.85</v>
      </c>
      <c r="H19" s="3"/>
      <c r="I19" s="24"/>
      <c r="J19" s="25">
        <f t="shared" si="1"/>
        <v>0</v>
      </c>
      <c r="K19" s="25">
        <f t="shared" si="2"/>
        <v>0</v>
      </c>
      <c r="L19" s="25"/>
      <c r="M19" s="26">
        <f t="shared" si="3"/>
        <v>0</v>
      </c>
      <c r="O19" s="356"/>
    </row>
    <row r="20" spans="1:15" s="68" customFormat="1" ht="25.5" x14ac:dyDescent="0.25">
      <c r="A20" s="42">
        <f t="shared" si="0"/>
        <v>10</v>
      </c>
      <c r="B20" s="15"/>
      <c r="C20" s="314" t="s">
        <v>40</v>
      </c>
      <c r="D20" s="315" t="s">
        <v>25</v>
      </c>
      <c r="E20" s="316" t="s">
        <v>34</v>
      </c>
      <c r="F20" s="317">
        <v>0.2</v>
      </c>
      <c r="G20" s="318">
        <f>ROUNDUP($G$14*F20,0)</f>
        <v>13</v>
      </c>
      <c r="H20" s="3"/>
      <c r="I20" s="24"/>
      <c r="J20" s="25">
        <f t="shared" si="1"/>
        <v>0</v>
      </c>
      <c r="K20" s="25">
        <f t="shared" si="2"/>
        <v>0</v>
      </c>
      <c r="L20" s="25"/>
      <c r="M20" s="26">
        <f t="shared" si="3"/>
        <v>0</v>
      </c>
      <c r="O20" s="356"/>
    </row>
    <row r="21" spans="1:15" s="68" customFormat="1" ht="25.5" x14ac:dyDescent="0.25">
      <c r="A21" s="42">
        <f t="shared" si="0"/>
        <v>11</v>
      </c>
      <c r="B21" s="15"/>
      <c r="C21" s="314" t="s">
        <v>41</v>
      </c>
      <c r="D21" s="315" t="s">
        <v>25</v>
      </c>
      <c r="E21" s="316" t="s">
        <v>34</v>
      </c>
      <c r="F21" s="317">
        <v>1.7</v>
      </c>
      <c r="G21" s="318">
        <f>ROUNDUP($G$14*F21,0)</f>
        <v>110</v>
      </c>
      <c r="H21" s="3"/>
      <c r="I21" s="24"/>
      <c r="J21" s="25">
        <f t="shared" si="1"/>
        <v>0</v>
      </c>
      <c r="K21" s="25">
        <f t="shared" si="2"/>
        <v>0</v>
      </c>
      <c r="L21" s="25"/>
      <c r="M21" s="26">
        <f t="shared" si="3"/>
        <v>0</v>
      </c>
      <c r="O21" s="356"/>
    </row>
    <row r="22" spans="1:15" s="68" customFormat="1" ht="25.5" x14ac:dyDescent="0.25">
      <c r="A22" s="42">
        <f t="shared" si="0"/>
        <v>12</v>
      </c>
      <c r="B22" s="15"/>
      <c r="C22" s="314" t="s">
        <v>42</v>
      </c>
      <c r="D22" s="315" t="s">
        <v>25</v>
      </c>
      <c r="E22" s="316" t="s">
        <v>34</v>
      </c>
      <c r="F22" s="317">
        <v>0.7</v>
      </c>
      <c r="G22" s="318">
        <f>ROUNDUP($G$14*F22,0)</f>
        <v>46</v>
      </c>
      <c r="H22" s="3"/>
      <c r="I22" s="24"/>
      <c r="J22" s="25">
        <f t="shared" si="1"/>
        <v>0</v>
      </c>
      <c r="K22" s="25">
        <f t="shared" si="2"/>
        <v>0</v>
      </c>
      <c r="L22" s="25"/>
      <c r="M22" s="26">
        <f t="shared" si="3"/>
        <v>0</v>
      </c>
      <c r="O22" s="356"/>
    </row>
    <row r="23" spans="1:15" s="68" customFormat="1" ht="25.5" x14ac:dyDescent="0.25">
      <c r="A23" s="42">
        <f t="shared" si="0"/>
        <v>13</v>
      </c>
      <c r="B23" s="15"/>
      <c r="C23" s="314" t="s">
        <v>43</v>
      </c>
      <c r="D23" s="315" t="s">
        <v>25</v>
      </c>
      <c r="E23" s="316" t="s">
        <v>34</v>
      </c>
      <c r="F23" s="317">
        <v>0.7</v>
      </c>
      <c r="G23" s="318">
        <f>ROUNDUP($G$14*F23,0)</f>
        <v>46</v>
      </c>
      <c r="H23" s="3"/>
      <c r="I23" s="24"/>
      <c r="J23" s="25">
        <f t="shared" si="1"/>
        <v>0</v>
      </c>
      <c r="K23" s="25">
        <f t="shared" si="2"/>
        <v>0</v>
      </c>
      <c r="L23" s="25"/>
      <c r="M23" s="26">
        <f t="shared" si="3"/>
        <v>0</v>
      </c>
      <c r="O23" s="356"/>
    </row>
    <row r="24" spans="1:15" s="68" customFormat="1" ht="25.5" x14ac:dyDescent="0.25">
      <c r="A24" s="42">
        <f t="shared" si="0"/>
        <v>14</v>
      </c>
      <c r="B24" s="15"/>
      <c r="C24" s="314" t="s">
        <v>36</v>
      </c>
      <c r="D24" s="315" t="s">
        <v>25</v>
      </c>
      <c r="E24" s="316" t="s">
        <v>34</v>
      </c>
      <c r="F24" s="317">
        <v>23</v>
      </c>
      <c r="G24" s="318">
        <f>ROUNDUP($G$14*F24*2,0)</f>
        <v>2960</v>
      </c>
      <c r="H24" s="3"/>
      <c r="I24" s="24"/>
      <c r="J24" s="25">
        <f t="shared" si="1"/>
        <v>0</v>
      </c>
      <c r="K24" s="25">
        <f t="shared" si="2"/>
        <v>0</v>
      </c>
      <c r="L24" s="25"/>
      <c r="M24" s="26">
        <f t="shared" si="3"/>
        <v>0</v>
      </c>
      <c r="O24" s="356"/>
    </row>
    <row r="25" spans="1:15" s="68" customFormat="1" ht="25.5" x14ac:dyDescent="0.25">
      <c r="A25" s="42">
        <f t="shared" si="0"/>
        <v>15</v>
      </c>
      <c r="B25" s="15"/>
      <c r="C25" s="314" t="s">
        <v>44</v>
      </c>
      <c r="D25" s="315" t="s">
        <v>25</v>
      </c>
      <c r="E25" s="316" t="s">
        <v>34</v>
      </c>
      <c r="F25" s="317">
        <v>0.7</v>
      </c>
      <c r="G25" s="318">
        <f>ROUNDUP($G$14*F25*2,0)</f>
        <v>91</v>
      </c>
      <c r="H25" s="3"/>
      <c r="I25" s="24"/>
      <c r="J25" s="25">
        <f t="shared" si="1"/>
        <v>0</v>
      </c>
      <c r="K25" s="25">
        <f t="shared" si="2"/>
        <v>0</v>
      </c>
      <c r="L25" s="25"/>
      <c r="M25" s="26">
        <f t="shared" si="3"/>
        <v>0</v>
      </c>
      <c r="O25" s="356"/>
    </row>
    <row r="26" spans="1:15" s="68" customFormat="1" ht="25.5" x14ac:dyDescent="0.25">
      <c r="A26" s="42">
        <f t="shared" si="0"/>
        <v>16</v>
      </c>
      <c r="B26" s="15"/>
      <c r="C26" s="314" t="s">
        <v>37</v>
      </c>
      <c r="D26" s="315" t="s">
        <v>25</v>
      </c>
      <c r="E26" s="316" t="s">
        <v>10</v>
      </c>
      <c r="F26" s="317">
        <v>0.35</v>
      </c>
      <c r="G26" s="318">
        <f>$G$14*F26</f>
        <v>22.52</v>
      </c>
      <c r="H26" s="3"/>
      <c r="I26" s="24"/>
      <c r="J26" s="25">
        <f t="shared" si="1"/>
        <v>0</v>
      </c>
      <c r="K26" s="25">
        <f t="shared" si="2"/>
        <v>0</v>
      </c>
      <c r="L26" s="25"/>
      <c r="M26" s="26">
        <f t="shared" si="3"/>
        <v>0</v>
      </c>
      <c r="O26" s="356"/>
    </row>
    <row r="27" spans="1:15" s="68" customFormat="1" ht="25.5" x14ac:dyDescent="0.25">
      <c r="A27" s="42">
        <f t="shared" si="0"/>
        <v>17</v>
      </c>
      <c r="B27" s="15"/>
      <c r="C27" s="314" t="s">
        <v>38</v>
      </c>
      <c r="D27" s="315" t="s">
        <v>25</v>
      </c>
      <c r="E27" s="316" t="s">
        <v>12</v>
      </c>
      <c r="F27" s="317">
        <v>1.2</v>
      </c>
      <c r="G27" s="318">
        <f>$G$14*F27</f>
        <v>77.2</v>
      </c>
      <c r="H27" s="3"/>
      <c r="I27" s="24"/>
      <c r="J27" s="25">
        <f t="shared" si="1"/>
        <v>0</v>
      </c>
      <c r="K27" s="25">
        <f t="shared" si="2"/>
        <v>0</v>
      </c>
      <c r="L27" s="25"/>
      <c r="M27" s="26">
        <f t="shared" si="3"/>
        <v>0</v>
      </c>
      <c r="O27" s="356"/>
    </row>
    <row r="28" spans="1:15" s="23" customFormat="1" ht="12.75" x14ac:dyDescent="0.25">
      <c r="A28" s="319">
        <f t="shared" si="0"/>
        <v>18</v>
      </c>
      <c r="B28" s="320" t="s">
        <v>96</v>
      </c>
      <c r="C28" s="321" t="s">
        <v>97</v>
      </c>
      <c r="D28" s="322" t="s">
        <v>22</v>
      </c>
      <c r="E28" s="323" t="s">
        <v>8</v>
      </c>
      <c r="F28" s="143">
        <v>1</v>
      </c>
      <c r="G28" s="313">
        <v>11.3</v>
      </c>
      <c r="H28" s="2"/>
      <c r="I28" s="4"/>
      <c r="J28" s="21">
        <f>I28</f>
        <v>0</v>
      </c>
      <c r="K28" s="21"/>
      <c r="L28" s="21">
        <f>G28*I28</f>
        <v>0</v>
      </c>
      <c r="M28" s="22">
        <f>L28</f>
        <v>0</v>
      </c>
      <c r="O28" s="354"/>
    </row>
    <row r="29" spans="1:15" s="68" customFormat="1" ht="25.5" x14ac:dyDescent="0.25">
      <c r="A29" s="324">
        <f t="shared" si="0"/>
        <v>19</v>
      </c>
      <c r="B29" s="325"/>
      <c r="C29" s="314" t="s">
        <v>98</v>
      </c>
      <c r="D29" s="315" t="s">
        <v>25</v>
      </c>
      <c r="E29" s="316" t="s">
        <v>12</v>
      </c>
      <c r="F29" s="317">
        <v>1.1000000000000001</v>
      </c>
      <c r="G29" s="318">
        <f>G28*9*F29</f>
        <v>111.87</v>
      </c>
      <c r="H29" s="3"/>
      <c r="I29" s="24"/>
      <c r="J29" s="25">
        <f>H29</f>
        <v>0</v>
      </c>
      <c r="K29" s="25">
        <f>G29*H29</f>
        <v>0</v>
      </c>
      <c r="L29" s="25"/>
      <c r="M29" s="26">
        <f>K29</f>
        <v>0</v>
      </c>
      <c r="O29" s="356"/>
    </row>
    <row r="30" spans="1:15" s="23" customFormat="1" ht="12.75" x14ac:dyDescent="0.25">
      <c r="A30" s="43">
        <f t="shared" si="0"/>
        <v>20</v>
      </c>
      <c r="B30" s="14" t="s">
        <v>99</v>
      </c>
      <c r="C30" s="55" t="s">
        <v>100</v>
      </c>
      <c r="D30" s="5" t="s">
        <v>22</v>
      </c>
      <c r="E30" s="6" t="s">
        <v>8</v>
      </c>
      <c r="F30" s="7">
        <v>1</v>
      </c>
      <c r="G30" s="313">
        <f>41.7+20.8+33.7</f>
        <v>96.2</v>
      </c>
      <c r="H30" s="2"/>
      <c r="I30" s="4"/>
      <c r="J30" s="21">
        <f>I30</f>
        <v>0</v>
      </c>
      <c r="K30" s="21"/>
      <c r="L30" s="21">
        <f>G30*I30</f>
        <v>0</v>
      </c>
      <c r="M30" s="22">
        <f>L30</f>
        <v>0</v>
      </c>
      <c r="O30" s="354"/>
    </row>
    <row r="31" spans="1:15" s="68" customFormat="1" ht="25.5" x14ac:dyDescent="0.25">
      <c r="A31" s="42">
        <f t="shared" si="0"/>
        <v>21</v>
      </c>
      <c r="B31" s="15"/>
      <c r="C31" s="326" t="s">
        <v>13</v>
      </c>
      <c r="D31" s="315" t="s">
        <v>25</v>
      </c>
      <c r="E31" s="316" t="s">
        <v>14</v>
      </c>
      <c r="F31" s="317">
        <v>0.1</v>
      </c>
      <c r="G31" s="318">
        <f>G30*F31</f>
        <v>9.6199999999999992</v>
      </c>
      <c r="H31" s="3"/>
      <c r="I31" s="24"/>
      <c r="J31" s="25">
        <f>H31</f>
        <v>0</v>
      </c>
      <c r="K31" s="25">
        <f>G31*H31</f>
        <v>0</v>
      </c>
      <c r="L31" s="25"/>
      <c r="M31" s="26">
        <f>K31</f>
        <v>0</v>
      </c>
      <c r="O31" s="356"/>
    </row>
    <row r="32" spans="1:15" s="68" customFormat="1" ht="25.5" x14ac:dyDescent="0.25">
      <c r="A32" s="42">
        <f t="shared" si="0"/>
        <v>22</v>
      </c>
      <c r="B32" s="15"/>
      <c r="C32" s="326" t="s">
        <v>101</v>
      </c>
      <c r="D32" s="315" t="s">
        <v>25</v>
      </c>
      <c r="E32" s="316" t="s">
        <v>10</v>
      </c>
      <c r="F32" s="317">
        <v>1.2</v>
      </c>
      <c r="G32" s="318">
        <f>G30*F32</f>
        <v>115.44</v>
      </c>
      <c r="H32" s="3"/>
      <c r="I32" s="24"/>
      <c r="J32" s="25">
        <f>H32</f>
        <v>0</v>
      </c>
      <c r="K32" s="25">
        <f>G32*H32</f>
        <v>0</v>
      </c>
      <c r="L32" s="25"/>
      <c r="M32" s="26">
        <f>K32</f>
        <v>0</v>
      </c>
      <c r="O32" s="356"/>
    </row>
    <row r="33" spans="1:15" s="68" customFormat="1" ht="25.5" x14ac:dyDescent="0.25">
      <c r="A33" s="42">
        <f t="shared" si="0"/>
        <v>23</v>
      </c>
      <c r="B33" s="15"/>
      <c r="C33" s="314" t="s">
        <v>23</v>
      </c>
      <c r="D33" s="315" t="s">
        <v>25</v>
      </c>
      <c r="E33" s="316" t="s">
        <v>10</v>
      </c>
      <c r="F33" s="317">
        <v>1.7</v>
      </c>
      <c r="G33" s="318">
        <f>G30*F33</f>
        <v>163.54</v>
      </c>
      <c r="H33" s="3"/>
      <c r="I33" s="24"/>
      <c r="J33" s="25">
        <f>H33</f>
        <v>0</v>
      </c>
      <c r="K33" s="25">
        <f>G33*H33</f>
        <v>0</v>
      </c>
      <c r="L33" s="25"/>
      <c r="M33" s="26">
        <f>K33</f>
        <v>0</v>
      </c>
      <c r="O33" s="356"/>
    </row>
    <row r="34" spans="1:15" s="23" customFormat="1" ht="38.25" x14ac:dyDescent="0.25">
      <c r="A34" s="43">
        <f t="shared" si="0"/>
        <v>24</v>
      </c>
      <c r="B34" s="14" t="s">
        <v>102</v>
      </c>
      <c r="C34" s="8" t="s">
        <v>103</v>
      </c>
      <c r="D34" s="5" t="s">
        <v>22</v>
      </c>
      <c r="E34" s="6" t="s">
        <v>8</v>
      </c>
      <c r="F34" s="7">
        <v>1</v>
      </c>
      <c r="G34" s="313">
        <f>41.7+20.8+33.7+11.3</f>
        <v>107.5</v>
      </c>
      <c r="H34" s="2"/>
      <c r="I34" s="4"/>
      <c r="J34" s="21">
        <f>I34</f>
        <v>0</v>
      </c>
      <c r="K34" s="21"/>
      <c r="L34" s="21">
        <f>G34*I34</f>
        <v>0</v>
      </c>
      <c r="M34" s="22">
        <f>L34</f>
        <v>0</v>
      </c>
      <c r="O34" s="354"/>
    </row>
    <row r="35" spans="1:15" s="68" customFormat="1" ht="25.5" x14ac:dyDescent="0.25">
      <c r="A35" s="42">
        <f t="shared" si="0"/>
        <v>25</v>
      </c>
      <c r="B35" s="15"/>
      <c r="C35" s="314" t="s">
        <v>13</v>
      </c>
      <c r="D35" s="315" t="s">
        <v>25</v>
      </c>
      <c r="E35" s="316" t="s">
        <v>14</v>
      </c>
      <c r="F35" s="317">
        <v>0.1</v>
      </c>
      <c r="G35" s="318">
        <f>G34*F35</f>
        <v>10.75</v>
      </c>
      <c r="H35" s="3"/>
      <c r="I35" s="24"/>
      <c r="J35" s="25">
        <f>H35</f>
        <v>0</v>
      </c>
      <c r="K35" s="25">
        <f>G35*H35</f>
        <v>0</v>
      </c>
      <c r="L35" s="25"/>
      <c r="M35" s="26">
        <f>K35</f>
        <v>0</v>
      </c>
      <c r="O35" s="356"/>
    </row>
    <row r="36" spans="1:15" s="68" customFormat="1" ht="25.5" x14ac:dyDescent="0.25">
      <c r="A36" s="42">
        <f t="shared" si="0"/>
        <v>26</v>
      </c>
      <c r="B36" s="15"/>
      <c r="C36" s="314" t="s">
        <v>104</v>
      </c>
      <c r="D36" s="315" t="s">
        <v>25</v>
      </c>
      <c r="E36" s="316" t="s">
        <v>14</v>
      </c>
      <c r="F36" s="317">
        <v>0.3</v>
      </c>
      <c r="G36" s="318">
        <f>41.7*F36</f>
        <v>12.51</v>
      </c>
      <c r="H36" s="3"/>
      <c r="I36" s="24"/>
      <c r="J36" s="25">
        <f>H36</f>
        <v>0</v>
      </c>
      <c r="K36" s="25">
        <f>G36*H36</f>
        <v>0</v>
      </c>
      <c r="L36" s="25"/>
      <c r="M36" s="26">
        <f>K36</f>
        <v>0</v>
      </c>
      <c r="O36" s="356"/>
    </row>
    <row r="37" spans="1:15" s="68" customFormat="1" ht="25.5" x14ac:dyDescent="0.25">
      <c r="A37" s="42">
        <f t="shared" si="0"/>
        <v>27</v>
      </c>
      <c r="B37" s="15"/>
      <c r="C37" s="314" t="s">
        <v>105</v>
      </c>
      <c r="D37" s="315" t="s">
        <v>25</v>
      </c>
      <c r="E37" s="316" t="s">
        <v>14</v>
      </c>
      <c r="F37" s="317">
        <v>0.3</v>
      </c>
      <c r="G37" s="318">
        <f>20.8*F37</f>
        <v>6.24</v>
      </c>
      <c r="H37" s="3"/>
      <c r="I37" s="24"/>
      <c r="J37" s="25">
        <f>H37</f>
        <v>0</v>
      </c>
      <c r="K37" s="25">
        <f>G37*H37</f>
        <v>0</v>
      </c>
      <c r="L37" s="25"/>
      <c r="M37" s="26">
        <f>K37</f>
        <v>0</v>
      </c>
      <c r="O37" s="356"/>
    </row>
    <row r="38" spans="1:15" s="68" customFormat="1" ht="51" x14ac:dyDescent="0.25">
      <c r="A38" s="42">
        <f t="shared" si="0"/>
        <v>28</v>
      </c>
      <c r="B38" s="38" t="s">
        <v>111</v>
      </c>
      <c r="C38" s="314" t="s">
        <v>106</v>
      </c>
      <c r="D38" s="315" t="s">
        <v>25</v>
      </c>
      <c r="E38" s="316" t="s">
        <v>14</v>
      </c>
      <c r="F38" s="317">
        <v>0.3</v>
      </c>
      <c r="G38" s="318">
        <f>(33.7+(21.22)*0.05)*F38</f>
        <v>10.43</v>
      </c>
      <c r="H38" s="3"/>
      <c r="I38" s="24"/>
      <c r="J38" s="25">
        <f>H38</f>
        <v>0</v>
      </c>
      <c r="K38" s="25">
        <f>G38*H38</f>
        <v>0</v>
      </c>
      <c r="L38" s="25"/>
      <c r="M38" s="26">
        <f>K38</f>
        <v>0</v>
      </c>
      <c r="O38" s="356"/>
    </row>
    <row r="39" spans="1:15" s="68" customFormat="1" ht="51" x14ac:dyDescent="0.25">
      <c r="A39" s="42">
        <f t="shared" si="0"/>
        <v>29</v>
      </c>
      <c r="B39" s="38" t="s">
        <v>127</v>
      </c>
      <c r="C39" s="314" t="s">
        <v>107</v>
      </c>
      <c r="D39" s="315" t="s">
        <v>25</v>
      </c>
      <c r="E39" s="316" t="s">
        <v>14</v>
      </c>
      <c r="F39" s="317">
        <v>0.3</v>
      </c>
      <c r="G39" s="318">
        <f>(11.3+17.3*0.5)*F39</f>
        <v>5.99</v>
      </c>
      <c r="H39" s="3"/>
      <c r="I39" s="24"/>
      <c r="J39" s="25">
        <f>H39</f>
        <v>0</v>
      </c>
      <c r="K39" s="25">
        <f>G39*H39</f>
        <v>0</v>
      </c>
      <c r="L39" s="25"/>
      <c r="M39" s="26">
        <f>K39</f>
        <v>0</v>
      </c>
      <c r="O39" s="356"/>
    </row>
    <row r="40" spans="1:15" s="44" customFormat="1" ht="25.5" customHeight="1" x14ac:dyDescent="0.25">
      <c r="A40" s="256">
        <f>ROW()-10</f>
        <v>30</v>
      </c>
      <c r="B40" s="306" t="s">
        <v>110</v>
      </c>
      <c r="C40" s="307" t="s">
        <v>109</v>
      </c>
      <c r="D40" s="36"/>
      <c r="E40" s="308"/>
      <c r="F40" s="309"/>
      <c r="G40" s="310"/>
      <c r="H40" s="39"/>
      <c r="I40" s="37"/>
      <c r="J40" s="28"/>
      <c r="K40" s="28"/>
      <c r="L40" s="28"/>
      <c r="M40" s="40"/>
      <c r="O40" s="355"/>
    </row>
    <row r="41" spans="1:15" s="23" customFormat="1" ht="12.75" x14ac:dyDescent="0.25">
      <c r="A41" s="43">
        <f t="shared" ref="A41:A67" si="4">ROW()-10</f>
        <v>31</v>
      </c>
      <c r="B41" s="14" t="s">
        <v>110</v>
      </c>
      <c r="C41" s="55" t="s">
        <v>21</v>
      </c>
      <c r="D41" s="5" t="s">
        <v>22</v>
      </c>
      <c r="E41" s="6" t="s">
        <v>8</v>
      </c>
      <c r="F41" s="7">
        <v>1</v>
      </c>
      <c r="G41" s="313">
        <v>289.67</v>
      </c>
      <c r="H41" s="2"/>
      <c r="I41" s="4"/>
      <c r="J41" s="21">
        <f>I41</f>
        <v>0</v>
      </c>
      <c r="K41" s="21"/>
      <c r="L41" s="21">
        <f>G41*I41</f>
        <v>0</v>
      </c>
      <c r="M41" s="22">
        <f>L41</f>
        <v>0</v>
      </c>
      <c r="O41" s="354"/>
    </row>
    <row r="42" spans="1:15" s="68" customFormat="1" ht="25.5" x14ac:dyDescent="0.25">
      <c r="A42" s="42">
        <f t="shared" si="4"/>
        <v>32</v>
      </c>
      <c r="B42" s="15"/>
      <c r="C42" s="326" t="s">
        <v>13</v>
      </c>
      <c r="D42" s="315" t="s">
        <v>25</v>
      </c>
      <c r="E42" s="316" t="s">
        <v>14</v>
      </c>
      <c r="F42" s="317">
        <v>0.1</v>
      </c>
      <c r="G42" s="318">
        <f>G41*F42</f>
        <v>28.97</v>
      </c>
      <c r="H42" s="3"/>
      <c r="I42" s="24"/>
      <c r="J42" s="25">
        <f>H42</f>
        <v>0</v>
      </c>
      <c r="K42" s="25">
        <f>G42*H42</f>
        <v>0</v>
      </c>
      <c r="L42" s="25"/>
      <c r="M42" s="26">
        <f>K42</f>
        <v>0</v>
      </c>
      <c r="O42" s="356"/>
    </row>
    <row r="43" spans="1:15" s="68" customFormat="1" ht="25.5" x14ac:dyDescent="0.25">
      <c r="A43" s="42">
        <f t="shared" si="4"/>
        <v>33</v>
      </c>
      <c r="B43" s="15"/>
      <c r="C43" s="326" t="s">
        <v>52</v>
      </c>
      <c r="D43" s="315" t="s">
        <v>25</v>
      </c>
      <c r="E43" s="316" t="s">
        <v>10</v>
      </c>
      <c r="F43" s="317">
        <v>1.2</v>
      </c>
      <c r="G43" s="318">
        <f>G41*F43</f>
        <v>347.6</v>
      </c>
      <c r="H43" s="3"/>
      <c r="I43" s="24"/>
      <c r="J43" s="25">
        <f>H43</f>
        <v>0</v>
      </c>
      <c r="K43" s="25">
        <f>G43*H43</f>
        <v>0</v>
      </c>
      <c r="L43" s="25"/>
      <c r="M43" s="26">
        <f>K43</f>
        <v>0</v>
      </c>
      <c r="O43" s="356"/>
    </row>
    <row r="44" spans="1:15" s="68" customFormat="1" ht="25.5" x14ac:dyDescent="0.25">
      <c r="A44" s="42">
        <f t="shared" si="4"/>
        <v>34</v>
      </c>
      <c r="B44" s="15"/>
      <c r="C44" s="314" t="s">
        <v>23</v>
      </c>
      <c r="D44" s="315" t="s">
        <v>25</v>
      </c>
      <c r="E44" s="316" t="s">
        <v>10</v>
      </c>
      <c r="F44" s="317">
        <v>1.7</v>
      </c>
      <c r="G44" s="318">
        <f>G41*F44</f>
        <v>492.44</v>
      </c>
      <c r="H44" s="3"/>
      <c r="I44" s="24"/>
      <c r="J44" s="25">
        <f>H44</f>
        <v>0</v>
      </c>
      <c r="K44" s="25">
        <f>G44*H44</f>
        <v>0</v>
      </c>
      <c r="L44" s="25"/>
      <c r="M44" s="26">
        <f>K44</f>
        <v>0</v>
      </c>
      <c r="O44" s="356"/>
    </row>
    <row r="45" spans="1:15" s="23" customFormat="1" ht="12.75" x14ac:dyDescent="0.25">
      <c r="A45" s="43">
        <f t="shared" si="4"/>
        <v>35</v>
      </c>
      <c r="B45" s="14" t="s">
        <v>110</v>
      </c>
      <c r="C45" s="8" t="s">
        <v>15</v>
      </c>
      <c r="D45" s="5" t="s">
        <v>22</v>
      </c>
      <c r="E45" s="6" t="s">
        <v>8</v>
      </c>
      <c r="F45" s="7">
        <v>1</v>
      </c>
      <c r="G45" s="313">
        <v>207.2</v>
      </c>
      <c r="H45" s="2"/>
      <c r="I45" s="4"/>
      <c r="J45" s="21">
        <f>I45</f>
        <v>0</v>
      </c>
      <c r="K45" s="21"/>
      <c r="L45" s="21">
        <f>G45*I45</f>
        <v>0</v>
      </c>
      <c r="M45" s="22">
        <f>L45</f>
        <v>0</v>
      </c>
      <c r="O45" s="354"/>
    </row>
    <row r="46" spans="1:15" s="68" customFormat="1" ht="25.5" x14ac:dyDescent="0.25">
      <c r="A46" s="42">
        <f t="shared" si="4"/>
        <v>36</v>
      </c>
      <c r="B46" s="15"/>
      <c r="C46" s="314" t="s">
        <v>13</v>
      </c>
      <c r="D46" s="315" t="s">
        <v>25</v>
      </c>
      <c r="E46" s="316" t="s">
        <v>14</v>
      </c>
      <c r="F46" s="317">
        <v>0.1</v>
      </c>
      <c r="G46" s="318">
        <f>G45*F46</f>
        <v>20.72</v>
      </c>
      <c r="H46" s="3"/>
      <c r="I46" s="24"/>
      <c r="J46" s="25">
        <f>H46</f>
        <v>0</v>
      </c>
      <c r="K46" s="25">
        <f>G46*H46</f>
        <v>0</v>
      </c>
      <c r="L46" s="25"/>
      <c r="M46" s="26">
        <f>K46</f>
        <v>0</v>
      </c>
      <c r="O46" s="356"/>
    </row>
    <row r="47" spans="1:15" s="68" customFormat="1" ht="25.5" x14ac:dyDescent="0.25">
      <c r="A47" s="42">
        <f t="shared" si="4"/>
        <v>37</v>
      </c>
      <c r="B47" s="15"/>
      <c r="C47" s="314" t="s">
        <v>104</v>
      </c>
      <c r="D47" s="315" t="s">
        <v>25</v>
      </c>
      <c r="E47" s="316" t="s">
        <v>14</v>
      </c>
      <c r="F47" s="317">
        <v>0.3</v>
      </c>
      <c r="G47" s="318">
        <f>152.27*F47</f>
        <v>45.68</v>
      </c>
      <c r="H47" s="3"/>
      <c r="I47" s="24"/>
      <c r="J47" s="25">
        <f>H47</f>
        <v>0</v>
      </c>
      <c r="K47" s="25">
        <f>G47*H47</f>
        <v>0</v>
      </c>
      <c r="L47" s="25"/>
      <c r="M47" s="26">
        <f>K47</f>
        <v>0</v>
      </c>
      <c r="O47" s="356"/>
    </row>
    <row r="48" spans="1:15" s="68" customFormat="1" ht="25.5" x14ac:dyDescent="0.25">
      <c r="A48" s="42">
        <f t="shared" si="4"/>
        <v>38</v>
      </c>
      <c r="B48" s="15"/>
      <c r="C48" s="314" t="s">
        <v>105</v>
      </c>
      <c r="D48" s="315" t="s">
        <v>25</v>
      </c>
      <c r="E48" s="316" t="s">
        <v>14</v>
      </c>
      <c r="F48" s="317">
        <v>0.3</v>
      </c>
      <c r="G48" s="318">
        <f>11.88*F48</f>
        <v>3.56</v>
      </c>
      <c r="H48" s="3"/>
      <c r="I48" s="24"/>
      <c r="J48" s="25">
        <f>H48</f>
        <v>0</v>
      </c>
      <c r="K48" s="25">
        <f>G48*H48</f>
        <v>0</v>
      </c>
      <c r="L48" s="25"/>
      <c r="M48" s="26">
        <f>K48</f>
        <v>0</v>
      </c>
      <c r="O48" s="356"/>
    </row>
    <row r="49" spans="1:15" s="68" customFormat="1" ht="25.5" x14ac:dyDescent="0.25">
      <c r="A49" s="42">
        <f t="shared" si="4"/>
        <v>39</v>
      </c>
      <c r="B49" s="15"/>
      <c r="C49" s="314" t="s">
        <v>106</v>
      </c>
      <c r="D49" s="315" t="s">
        <v>25</v>
      </c>
      <c r="E49" s="316" t="s">
        <v>14</v>
      </c>
      <c r="F49" s="317">
        <v>0.3</v>
      </c>
      <c r="G49" s="318">
        <f>43.05*F49</f>
        <v>12.92</v>
      </c>
      <c r="H49" s="3"/>
      <c r="I49" s="24"/>
      <c r="J49" s="25">
        <f>H49</f>
        <v>0</v>
      </c>
      <c r="K49" s="25">
        <f>G49*H49</f>
        <v>0</v>
      </c>
      <c r="L49" s="25"/>
      <c r="M49" s="26">
        <f>K49</f>
        <v>0</v>
      </c>
      <c r="O49" s="356"/>
    </row>
    <row r="50" spans="1:15" s="23" customFormat="1" ht="38.25" x14ac:dyDescent="0.25">
      <c r="A50" s="43">
        <f t="shared" si="4"/>
        <v>40</v>
      </c>
      <c r="B50" s="14" t="s">
        <v>110</v>
      </c>
      <c r="C50" s="8" t="s">
        <v>134</v>
      </c>
      <c r="D50" s="5" t="s">
        <v>22</v>
      </c>
      <c r="E50" s="6" t="s">
        <v>8</v>
      </c>
      <c r="F50" s="7">
        <v>1</v>
      </c>
      <c r="G50" s="313">
        <v>54.25</v>
      </c>
      <c r="H50" s="2"/>
      <c r="I50" s="4"/>
      <c r="J50" s="21">
        <f>I50</f>
        <v>0</v>
      </c>
      <c r="K50" s="21"/>
      <c r="L50" s="21">
        <f>G50*I50</f>
        <v>0</v>
      </c>
      <c r="M50" s="22">
        <f>L50</f>
        <v>0</v>
      </c>
      <c r="O50" s="354"/>
    </row>
    <row r="51" spans="1:15" s="68" customFormat="1" ht="25.5" x14ac:dyDescent="0.25">
      <c r="A51" s="42">
        <f t="shared" si="4"/>
        <v>41</v>
      </c>
      <c r="B51" s="15"/>
      <c r="C51" s="314" t="s">
        <v>58</v>
      </c>
      <c r="D51" s="315" t="s">
        <v>25</v>
      </c>
      <c r="E51" s="316" t="s">
        <v>8</v>
      </c>
      <c r="F51" s="317">
        <v>1.07</v>
      </c>
      <c r="G51" s="318">
        <f>G50*F51</f>
        <v>58.05</v>
      </c>
      <c r="H51" s="3"/>
      <c r="I51" s="24"/>
      <c r="J51" s="25">
        <f>H51</f>
        <v>0</v>
      </c>
      <c r="K51" s="25">
        <f>G51*H51</f>
        <v>0</v>
      </c>
      <c r="L51" s="25"/>
      <c r="M51" s="26">
        <f>K51</f>
        <v>0</v>
      </c>
      <c r="O51" s="356"/>
    </row>
    <row r="52" spans="1:15" s="68" customFormat="1" ht="25.5" x14ac:dyDescent="0.25">
      <c r="A52" s="42">
        <f t="shared" si="4"/>
        <v>42</v>
      </c>
      <c r="B52" s="15"/>
      <c r="C52" s="314" t="s">
        <v>9</v>
      </c>
      <c r="D52" s="315" t="s">
        <v>25</v>
      </c>
      <c r="E52" s="316" t="s">
        <v>10</v>
      </c>
      <c r="F52" s="317">
        <v>12</v>
      </c>
      <c r="G52" s="318">
        <f>G50*0.3*F52</f>
        <v>195.3</v>
      </c>
      <c r="H52" s="3"/>
      <c r="I52" s="24"/>
      <c r="J52" s="25">
        <f>H52</f>
        <v>0</v>
      </c>
      <c r="K52" s="25">
        <f>G52*H52</f>
        <v>0</v>
      </c>
      <c r="L52" s="25"/>
      <c r="M52" s="26">
        <f>K52</f>
        <v>0</v>
      </c>
      <c r="O52" s="356"/>
    </row>
    <row r="53" spans="1:15" s="68" customFormat="1" ht="25.5" x14ac:dyDescent="0.25">
      <c r="A53" s="42">
        <f t="shared" si="4"/>
        <v>43</v>
      </c>
      <c r="B53" s="15"/>
      <c r="C53" s="314" t="s">
        <v>11</v>
      </c>
      <c r="D53" s="315" t="s">
        <v>25</v>
      </c>
      <c r="E53" s="316" t="s">
        <v>10</v>
      </c>
      <c r="F53" s="317">
        <v>0.25</v>
      </c>
      <c r="G53" s="318">
        <f>G50*0.3*F53</f>
        <v>4.07</v>
      </c>
      <c r="H53" s="3"/>
      <c r="I53" s="24"/>
      <c r="J53" s="25">
        <f>H53</f>
        <v>0</v>
      </c>
      <c r="K53" s="25">
        <f>G53*H53</f>
        <v>0</v>
      </c>
      <c r="L53" s="25"/>
      <c r="M53" s="26">
        <f>K53</f>
        <v>0</v>
      </c>
      <c r="O53" s="356"/>
    </row>
    <row r="54" spans="1:15" s="68" customFormat="1" ht="25.5" x14ac:dyDescent="0.25">
      <c r="A54" s="42">
        <f t="shared" si="4"/>
        <v>44</v>
      </c>
      <c r="B54" s="15"/>
      <c r="C54" s="314" t="s">
        <v>46</v>
      </c>
      <c r="D54" s="315" t="s">
        <v>25</v>
      </c>
      <c r="E54" s="316" t="s">
        <v>12</v>
      </c>
      <c r="F54" s="317">
        <v>1.1000000000000001</v>
      </c>
      <c r="G54" s="318">
        <f>20.04*F54</f>
        <v>22.04</v>
      </c>
      <c r="H54" s="3"/>
      <c r="I54" s="24"/>
      <c r="J54" s="25">
        <f>H54</f>
        <v>0</v>
      </c>
      <c r="K54" s="25">
        <f>G54*H54</f>
        <v>0</v>
      </c>
      <c r="L54" s="25"/>
      <c r="M54" s="26">
        <f>K54</f>
        <v>0</v>
      </c>
      <c r="O54" s="356"/>
    </row>
    <row r="55" spans="1:15" s="23" customFormat="1" ht="38.25" x14ac:dyDescent="0.25">
      <c r="A55" s="43">
        <f t="shared" si="4"/>
        <v>45</v>
      </c>
      <c r="B55" s="14" t="s">
        <v>110</v>
      </c>
      <c r="C55" s="8" t="s">
        <v>49</v>
      </c>
      <c r="D55" s="5" t="s">
        <v>22</v>
      </c>
      <c r="E55" s="6" t="s">
        <v>8</v>
      </c>
      <c r="F55" s="7">
        <v>1</v>
      </c>
      <c r="G55" s="313">
        <v>82.47</v>
      </c>
      <c r="H55" s="2"/>
      <c r="I55" s="4"/>
      <c r="J55" s="21">
        <f>I55</f>
        <v>0</v>
      </c>
      <c r="K55" s="21"/>
      <c r="L55" s="21">
        <f>G55*I55</f>
        <v>0</v>
      </c>
      <c r="M55" s="22">
        <f>L55</f>
        <v>0</v>
      </c>
      <c r="O55" s="354"/>
    </row>
    <row r="56" spans="1:15" s="68" customFormat="1" ht="25.5" x14ac:dyDescent="0.25">
      <c r="A56" s="42">
        <f t="shared" si="4"/>
        <v>46</v>
      </c>
      <c r="B56" s="15"/>
      <c r="C56" s="314" t="s">
        <v>131</v>
      </c>
      <c r="D56" s="315" t="s">
        <v>25</v>
      </c>
      <c r="E56" s="316" t="s">
        <v>10</v>
      </c>
      <c r="F56" s="317">
        <v>2.5</v>
      </c>
      <c r="G56" s="318">
        <f>16.32*F56</f>
        <v>40.799999999999997</v>
      </c>
      <c r="H56" s="3"/>
      <c r="I56" s="24"/>
      <c r="J56" s="25">
        <f>H56</f>
        <v>0</v>
      </c>
      <c r="K56" s="25">
        <f>G56*H56</f>
        <v>0</v>
      </c>
      <c r="L56" s="25"/>
      <c r="M56" s="26">
        <f>K56</f>
        <v>0</v>
      </c>
      <c r="O56" s="356"/>
    </row>
    <row r="57" spans="1:15" s="68" customFormat="1" ht="25.5" x14ac:dyDescent="0.25">
      <c r="A57" s="42">
        <f t="shared" si="4"/>
        <v>47</v>
      </c>
      <c r="B57" s="15"/>
      <c r="C57" s="314" t="s">
        <v>132</v>
      </c>
      <c r="D57" s="315" t="s">
        <v>25</v>
      </c>
      <c r="E57" s="316" t="s">
        <v>10</v>
      </c>
      <c r="F57" s="317">
        <v>2.5</v>
      </c>
      <c r="G57" s="318">
        <f>49.42*F57</f>
        <v>123.55</v>
      </c>
      <c r="H57" s="3"/>
      <c r="I57" s="24"/>
      <c r="J57" s="25">
        <f>H57</f>
        <v>0</v>
      </c>
      <c r="K57" s="25">
        <f>G57*H57</f>
        <v>0</v>
      </c>
      <c r="L57" s="25"/>
      <c r="M57" s="26">
        <f>K57</f>
        <v>0</v>
      </c>
      <c r="O57" s="356"/>
    </row>
    <row r="58" spans="1:15" s="68" customFormat="1" ht="25.5" x14ac:dyDescent="0.25">
      <c r="A58" s="42">
        <f t="shared" si="4"/>
        <v>48</v>
      </c>
      <c r="B58" s="15"/>
      <c r="C58" s="314" t="s">
        <v>133</v>
      </c>
      <c r="D58" s="315" t="s">
        <v>25</v>
      </c>
      <c r="E58" s="316" t="s">
        <v>10</v>
      </c>
      <c r="F58" s="317">
        <v>2.5</v>
      </c>
      <c r="G58" s="318">
        <f>16.74*F58</f>
        <v>41.85</v>
      </c>
      <c r="H58" s="3"/>
      <c r="I58" s="24"/>
      <c r="J58" s="25">
        <f>H58</f>
        <v>0</v>
      </c>
      <c r="K58" s="25">
        <f>G58*H58</f>
        <v>0</v>
      </c>
      <c r="L58" s="25"/>
      <c r="M58" s="26">
        <f>K58</f>
        <v>0</v>
      </c>
      <c r="O58" s="356"/>
    </row>
    <row r="59" spans="1:15" s="23" customFormat="1" ht="12.75" x14ac:dyDescent="0.25">
      <c r="A59" s="43">
        <f t="shared" si="4"/>
        <v>49</v>
      </c>
      <c r="B59" s="14" t="s">
        <v>110</v>
      </c>
      <c r="C59" s="8" t="s">
        <v>50</v>
      </c>
      <c r="D59" s="5" t="s">
        <v>22</v>
      </c>
      <c r="E59" s="6" t="s">
        <v>12</v>
      </c>
      <c r="F59" s="7">
        <v>1</v>
      </c>
      <c r="G59" s="313">
        <v>17.64</v>
      </c>
      <c r="H59" s="2"/>
      <c r="I59" s="4"/>
      <c r="J59" s="21">
        <f>I59</f>
        <v>0</v>
      </c>
      <c r="K59" s="21"/>
      <c r="L59" s="21">
        <f>G59*I59</f>
        <v>0</v>
      </c>
      <c r="M59" s="22">
        <f>L59</f>
        <v>0</v>
      </c>
      <c r="O59" s="354"/>
    </row>
    <row r="60" spans="1:15" s="68" customFormat="1" ht="25.5" x14ac:dyDescent="0.25">
      <c r="A60" s="42">
        <f t="shared" si="4"/>
        <v>50</v>
      </c>
      <c r="B60" s="15"/>
      <c r="C60" s="314" t="s">
        <v>51</v>
      </c>
      <c r="D60" s="315" t="s">
        <v>25</v>
      </c>
      <c r="E60" s="316" t="s">
        <v>12</v>
      </c>
      <c r="F60" s="317">
        <v>1.1000000000000001</v>
      </c>
      <c r="G60" s="318">
        <f>G59*F60</f>
        <v>19.399999999999999</v>
      </c>
      <c r="H60" s="3"/>
      <c r="I60" s="24"/>
      <c r="J60" s="25">
        <f>H60</f>
        <v>0</v>
      </c>
      <c r="K60" s="25">
        <f>G60*H60</f>
        <v>0</v>
      </c>
      <c r="L60" s="25"/>
      <c r="M60" s="26">
        <f>K60</f>
        <v>0</v>
      </c>
      <c r="O60" s="356"/>
    </row>
    <row r="61" spans="1:15" s="23" customFormat="1" ht="12.75" x14ac:dyDescent="0.25">
      <c r="A61" s="43">
        <f t="shared" si="4"/>
        <v>51</v>
      </c>
      <c r="B61" s="14" t="s">
        <v>110</v>
      </c>
      <c r="C61" s="8" t="s">
        <v>20</v>
      </c>
      <c r="D61" s="5" t="s">
        <v>22</v>
      </c>
      <c r="E61" s="6" t="s">
        <v>24</v>
      </c>
      <c r="F61" s="7">
        <v>1</v>
      </c>
      <c r="G61" s="313">
        <v>46.44</v>
      </c>
      <c r="H61" s="2"/>
      <c r="I61" s="4"/>
      <c r="J61" s="21">
        <f>I61</f>
        <v>0</v>
      </c>
      <c r="K61" s="21"/>
      <c r="L61" s="21">
        <f>G61*I61</f>
        <v>0</v>
      </c>
      <c r="M61" s="22">
        <f>L61</f>
        <v>0</v>
      </c>
      <c r="O61" s="354"/>
    </row>
    <row r="62" spans="1:15" s="68" customFormat="1" ht="25.5" x14ac:dyDescent="0.25">
      <c r="A62" s="42">
        <f t="shared" si="4"/>
        <v>52</v>
      </c>
      <c r="B62" s="327"/>
      <c r="C62" s="314" t="s">
        <v>32</v>
      </c>
      <c r="D62" s="315" t="s">
        <v>25</v>
      </c>
      <c r="E62" s="328" t="s">
        <v>10</v>
      </c>
      <c r="F62" s="329">
        <v>0.05</v>
      </c>
      <c r="G62" s="318">
        <f>G61*0.2*F62</f>
        <v>0.46</v>
      </c>
      <c r="H62" s="3"/>
      <c r="I62" s="69"/>
      <c r="J62" s="25">
        <f t="shared" ref="J62:J67" si="5">H62</f>
        <v>0</v>
      </c>
      <c r="K62" s="25">
        <f t="shared" ref="K62:K67" si="6">G62*H62</f>
        <v>0</v>
      </c>
      <c r="L62" s="25"/>
      <c r="M62" s="26">
        <f t="shared" ref="M62:M67" si="7">K62</f>
        <v>0</v>
      </c>
      <c r="O62" s="356"/>
    </row>
    <row r="63" spans="1:15" s="68" customFormat="1" ht="25.5" x14ac:dyDescent="0.25">
      <c r="A63" s="42">
        <f t="shared" si="4"/>
        <v>53</v>
      </c>
      <c r="B63" s="327"/>
      <c r="C63" s="314" t="s">
        <v>33</v>
      </c>
      <c r="D63" s="315" t="s">
        <v>25</v>
      </c>
      <c r="E63" s="328" t="s">
        <v>10</v>
      </c>
      <c r="F63" s="329">
        <v>10</v>
      </c>
      <c r="G63" s="318">
        <f>G61*0.2*F63</f>
        <v>92.88</v>
      </c>
      <c r="H63" s="3"/>
      <c r="I63" s="69"/>
      <c r="J63" s="25">
        <f t="shared" si="5"/>
        <v>0</v>
      </c>
      <c r="K63" s="25">
        <f t="shared" si="6"/>
        <v>0</v>
      </c>
      <c r="L63" s="25"/>
      <c r="M63" s="26">
        <f t="shared" si="7"/>
        <v>0</v>
      </c>
      <c r="O63" s="356"/>
    </row>
    <row r="64" spans="1:15" s="68" customFormat="1" ht="25.5" x14ac:dyDescent="0.25">
      <c r="A64" s="42">
        <f t="shared" si="4"/>
        <v>54</v>
      </c>
      <c r="B64" s="15"/>
      <c r="C64" s="314" t="s">
        <v>13</v>
      </c>
      <c r="D64" s="315" t="s">
        <v>25</v>
      </c>
      <c r="E64" s="316" t="s">
        <v>14</v>
      </c>
      <c r="F64" s="317">
        <v>0.1</v>
      </c>
      <c r="G64" s="318">
        <f>G61*0.2*F64</f>
        <v>0.93</v>
      </c>
      <c r="H64" s="3"/>
      <c r="I64" s="24"/>
      <c r="J64" s="25">
        <f t="shared" si="5"/>
        <v>0</v>
      </c>
      <c r="K64" s="25">
        <f t="shared" si="6"/>
        <v>0</v>
      </c>
      <c r="L64" s="25"/>
      <c r="M64" s="26">
        <f t="shared" si="7"/>
        <v>0</v>
      </c>
      <c r="O64" s="356"/>
    </row>
    <row r="65" spans="1:16" s="68" customFormat="1" ht="25.5" x14ac:dyDescent="0.25">
      <c r="A65" s="42">
        <f t="shared" si="4"/>
        <v>55</v>
      </c>
      <c r="B65" s="327"/>
      <c r="C65" s="314" t="s">
        <v>23</v>
      </c>
      <c r="D65" s="330" t="s">
        <v>25</v>
      </c>
      <c r="E65" s="328" t="s">
        <v>10</v>
      </c>
      <c r="F65" s="329">
        <v>1.7</v>
      </c>
      <c r="G65" s="318">
        <f>G61*0.2*F65</f>
        <v>15.79</v>
      </c>
      <c r="H65" s="3"/>
      <c r="I65" s="69"/>
      <c r="J65" s="25">
        <f t="shared" si="5"/>
        <v>0</v>
      </c>
      <c r="K65" s="25">
        <f t="shared" si="6"/>
        <v>0</v>
      </c>
      <c r="L65" s="25"/>
      <c r="M65" s="26">
        <f t="shared" si="7"/>
        <v>0</v>
      </c>
      <c r="O65" s="356"/>
    </row>
    <row r="66" spans="1:16" s="68" customFormat="1" ht="25.5" x14ac:dyDescent="0.25">
      <c r="A66" s="42">
        <f t="shared" si="4"/>
        <v>56</v>
      </c>
      <c r="B66" s="15"/>
      <c r="C66" s="314" t="s">
        <v>104</v>
      </c>
      <c r="D66" s="315" t="s">
        <v>25</v>
      </c>
      <c r="E66" s="316" t="s">
        <v>14</v>
      </c>
      <c r="F66" s="317">
        <v>0.3</v>
      </c>
      <c r="G66" s="318">
        <f>41.33*0.2*F66</f>
        <v>2.48</v>
      </c>
      <c r="H66" s="3"/>
      <c r="I66" s="69"/>
      <c r="J66" s="25">
        <f t="shared" si="5"/>
        <v>0</v>
      </c>
      <c r="K66" s="25">
        <f t="shared" si="6"/>
        <v>0</v>
      </c>
      <c r="L66" s="25"/>
      <c r="M66" s="26">
        <f t="shared" si="7"/>
        <v>0</v>
      </c>
      <c r="O66" s="356"/>
    </row>
    <row r="67" spans="1:16" s="68" customFormat="1" ht="25.5" x14ac:dyDescent="0.25">
      <c r="A67" s="42">
        <f t="shared" si="4"/>
        <v>57</v>
      </c>
      <c r="B67" s="15"/>
      <c r="C67" s="314" t="s">
        <v>131</v>
      </c>
      <c r="D67" s="315" t="s">
        <v>25</v>
      </c>
      <c r="E67" s="316" t="s">
        <v>10</v>
      </c>
      <c r="F67" s="317">
        <v>2.5</v>
      </c>
      <c r="G67" s="318">
        <f>5.11*0.2*F67</f>
        <v>2.56</v>
      </c>
      <c r="H67" s="3"/>
      <c r="I67" s="69"/>
      <c r="J67" s="25">
        <f t="shared" si="5"/>
        <v>0</v>
      </c>
      <c r="K67" s="25">
        <f t="shared" si="6"/>
        <v>0</v>
      </c>
      <c r="L67" s="25"/>
      <c r="M67" s="26">
        <f t="shared" si="7"/>
        <v>0</v>
      </c>
      <c r="N67" s="71"/>
      <c r="O67" s="390"/>
      <c r="P67" s="71"/>
    </row>
    <row r="68" spans="1:16" s="44" customFormat="1" ht="25.5" customHeight="1" x14ac:dyDescent="0.25">
      <c r="A68" s="305">
        <f>ROW()-10</f>
        <v>58</v>
      </c>
      <c r="B68" s="306" t="s">
        <v>113</v>
      </c>
      <c r="C68" s="307" t="s">
        <v>112</v>
      </c>
      <c r="D68" s="36"/>
      <c r="E68" s="308"/>
      <c r="F68" s="309"/>
      <c r="G68" s="310"/>
      <c r="H68" s="39"/>
      <c r="I68" s="37"/>
      <c r="J68" s="28"/>
      <c r="K68" s="28"/>
      <c r="L68" s="28"/>
      <c r="M68" s="40"/>
      <c r="N68" s="23"/>
      <c r="O68" s="354"/>
      <c r="P68" s="23"/>
    </row>
    <row r="69" spans="1:16" s="23" customFormat="1" ht="12.75" x14ac:dyDescent="0.25">
      <c r="A69" s="43">
        <f t="shared" ref="A69:A99" si="8">ROW()-10</f>
        <v>59</v>
      </c>
      <c r="B69" s="14" t="s">
        <v>113</v>
      </c>
      <c r="C69" s="8" t="s">
        <v>16</v>
      </c>
      <c r="D69" s="5" t="s">
        <v>22</v>
      </c>
      <c r="E69" s="6" t="s">
        <v>8</v>
      </c>
      <c r="F69" s="7">
        <v>1</v>
      </c>
      <c r="G69" s="313">
        <v>85.2</v>
      </c>
      <c r="H69" s="2"/>
      <c r="I69" s="4"/>
      <c r="J69" s="21">
        <f>I69</f>
        <v>0</v>
      </c>
      <c r="K69" s="21"/>
      <c r="L69" s="21">
        <f>G69*I69</f>
        <v>0</v>
      </c>
      <c r="M69" s="22">
        <f>L69</f>
        <v>0</v>
      </c>
      <c r="O69" s="354"/>
    </row>
    <row r="70" spans="1:16" s="68" customFormat="1" ht="25.5" x14ac:dyDescent="0.25">
      <c r="A70" s="41">
        <f t="shared" si="8"/>
        <v>60</v>
      </c>
      <c r="B70" s="38" t="s">
        <v>59</v>
      </c>
      <c r="C70" s="314" t="s">
        <v>58</v>
      </c>
      <c r="D70" s="315" t="s">
        <v>25</v>
      </c>
      <c r="E70" s="316" t="s">
        <v>8</v>
      </c>
      <c r="F70" s="317">
        <v>1.07</v>
      </c>
      <c r="G70" s="318">
        <f>G69*F70</f>
        <v>91.16</v>
      </c>
      <c r="H70" s="3"/>
      <c r="I70" s="24"/>
      <c r="J70" s="25">
        <f>H70</f>
        <v>0</v>
      </c>
      <c r="K70" s="25">
        <f>G70*H70</f>
        <v>0</v>
      </c>
      <c r="L70" s="25"/>
      <c r="M70" s="26">
        <f>K70</f>
        <v>0</v>
      </c>
      <c r="O70" s="356"/>
    </row>
    <row r="71" spans="1:16" s="68" customFormat="1" ht="25.5" x14ac:dyDescent="0.25">
      <c r="A71" s="42">
        <f t="shared" si="8"/>
        <v>61</v>
      </c>
      <c r="B71" s="15"/>
      <c r="C71" s="314" t="s">
        <v>9</v>
      </c>
      <c r="D71" s="315" t="s">
        <v>25</v>
      </c>
      <c r="E71" s="316" t="s">
        <v>10</v>
      </c>
      <c r="F71" s="317">
        <v>12</v>
      </c>
      <c r="G71" s="318">
        <f>G69*F71</f>
        <v>1022.4</v>
      </c>
      <c r="H71" s="3"/>
      <c r="I71" s="24"/>
      <c r="J71" s="25">
        <f>H71</f>
        <v>0</v>
      </c>
      <c r="K71" s="25">
        <f>G71*H71</f>
        <v>0</v>
      </c>
      <c r="L71" s="25"/>
      <c r="M71" s="26">
        <f>K71</f>
        <v>0</v>
      </c>
      <c r="O71" s="356"/>
    </row>
    <row r="72" spans="1:16" s="68" customFormat="1" ht="25.5" x14ac:dyDescent="0.25">
      <c r="A72" s="42">
        <f t="shared" si="8"/>
        <v>62</v>
      </c>
      <c r="B72" s="15"/>
      <c r="C72" s="314" t="s">
        <v>11</v>
      </c>
      <c r="D72" s="315" t="s">
        <v>25</v>
      </c>
      <c r="E72" s="316" t="s">
        <v>10</v>
      </c>
      <c r="F72" s="317">
        <v>0.25</v>
      </c>
      <c r="G72" s="318">
        <f>G69*F72</f>
        <v>21.3</v>
      </c>
      <c r="H72" s="3"/>
      <c r="I72" s="24"/>
      <c r="J72" s="25">
        <f>H72</f>
        <v>0</v>
      </c>
      <c r="K72" s="25">
        <f>G72*H72</f>
        <v>0</v>
      </c>
      <c r="L72" s="25"/>
      <c r="M72" s="26">
        <f>K72</f>
        <v>0</v>
      </c>
      <c r="O72" s="356"/>
    </row>
    <row r="73" spans="1:16" s="23" customFormat="1" ht="25.5" x14ac:dyDescent="0.25">
      <c r="A73" s="43">
        <f t="shared" si="8"/>
        <v>63</v>
      </c>
      <c r="B73" s="14" t="s">
        <v>113</v>
      </c>
      <c r="C73" s="8" t="s">
        <v>45</v>
      </c>
      <c r="D73" s="5" t="s">
        <v>22</v>
      </c>
      <c r="E73" s="6" t="s">
        <v>12</v>
      </c>
      <c r="F73" s="7">
        <v>1</v>
      </c>
      <c r="G73" s="313">
        <v>59.1</v>
      </c>
      <c r="H73" s="2"/>
      <c r="I73" s="4"/>
      <c r="J73" s="21">
        <f>I73</f>
        <v>0</v>
      </c>
      <c r="K73" s="21"/>
      <c r="L73" s="21">
        <f>G73*I73</f>
        <v>0</v>
      </c>
      <c r="M73" s="22">
        <f>L73</f>
        <v>0</v>
      </c>
      <c r="O73" s="354"/>
    </row>
    <row r="74" spans="1:16" s="68" customFormat="1" ht="25.5" x14ac:dyDescent="0.25">
      <c r="A74" s="42">
        <f t="shared" si="8"/>
        <v>64</v>
      </c>
      <c r="B74" s="15" t="s">
        <v>61</v>
      </c>
      <c r="C74" s="314" t="s">
        <v>60</v>
      </c>
      <c r="D74" s="315" t="s">
        <v>25</v>
      </c>
      <c r="E74" s="316" t="s">
        <v>8</v>
      </c>
      <c r="F74" s="317">
        <v>1.07</v>
      </c>
      <c r="G74" s="318">
        <f>G73*0.3*F74</f>
        <v>18.97</v>
      </c>
      <c r="H74" s="3"/>
      <c r="I74" s="24"/>
      <c r="J74" s="25">
        <f>H74</f>
        <v>0</v>
      </c>
      <c r="K74" s="25">
        <f>G74*H74</f>
        <v>0</v>
      </c>
      <c r="L74" s="25"/>
      <c r="M74" s="26">
        <f>K74</f>
        <v>0</v>
      </c>
      <c r="O74" s="356"/>
    </row>
    <row r="75" spans="1:16" s="68" customFormat="1" ht="25.5" x14ac:dyDescent="0.25">
      <c r="A75" s="42">
        <f t="shared" si="8"/>
        <v>65</v>
      </c>
      <c r="B75" s="15"/>
      <c r="C75" s="314" t="s">
        <v>9</v>
      </c>
      <c r="D75" s="315" t="s">
        <v>25</v>
      </c>
      <c r="E75" s="316" t="s">
        <v>10</v>
      </c>
      <c r="F75" s="317">
        <v>12</v>
      </c>
      <c r="G75" s="318">
        <f>G73*0.3*F75</f>
        <v>212.76</v>
      </c>
      <c r="H75" s="3"/>
      <c r="I75" s="24"/>
      <c r="J75" s="25">
        <f>H75</f>
        <v>0</v>
      </c>
      <c r="K75" s="25">
        <f>G75*H75</f>
        <v>0</v>
      </c>
      <c r="L75" s="25"/>
      <c r="M75" s="26">
        <f>K75</f>
        <v>0</v>
      </c>
      <c r="O75" s="356"/>
    </row>
    <row r="76" spans="1:16" s="68" customFormat="1" ht="25.5" x14ac:dyDescent="0.25">
      <c r="A76" s="42">
        <f t="shared" si="8"/>
        <v>66</v>
      </c>
      <c r="B76" s="15"/>
      <c r="C76" s="314" t="s">
        <v>11</v>
      </c>
      <c r="D76" s="315" t="s">
        <v>25</v>
      </c>
      <c r="E76" s="316" t="s">
        <v>10</v>
      </c>
      <c r="F76" s="317">
        <v>0.25</v>
      </c>
      <c r="G76" s="318">
        <f>G73*0.3*F76</f>
        <v>4.43</v>
      </c>
      <c r="H76" s="3"/>
      <c r="I76" s="24"/>
      <c r="J76" s="25">
        <f>H76</f>
        <v>0</v>
      </c>
      <c r="K76" s="25">
        <f>G76*H76</f>
        <v>0</v>
      </c>
      <c r="L76" s="25"/>
      <c r="M76" s="26">
        <f>K76</f>
        <v>0</v>
      </c>
      <c r="O76" s="356"/>
    </row>
    <row r="77" spans="1:16" s="68" customFormat="1" ht="25.5" x14ac:dyDescent="0.25">
      <c r="A77" s="42">
        <f t="shared" si="8"/>
        <v>67</v>
      </c>
      <c r="B77" s="15"/>
      <c r="C77" s="314" t="s">
        <v>46</v>
      </c>
      <c r="D77" s="315" t="s">
        <v>25</v>
      </c>
      <c r="E77" s="316" t="s">
        <v>12</v>
      </c>
      <c r="F77" s="317">
        <v>1.1000000000000001</v>
      </c>
      <c r="G77" s="318">
        <f>G73*F77</f>
        <v>65.010000000000005</v>
      </c>
      <c r="H77" s="3"/>
      <c r="I77" s="24"/>
      <c r="J77" s="25">
        <f>H77</f>
        <v>0</v>
      </c>
      <c r="K77" s="25">
        <f>G77*H77</f>
        <v>0</v>
      </c>
      <c r="L77" s="25"/>
      <c r="M77" s="26">
        <f>K77</f>
        <v>0</v>
      </c>
      <c r="O77" s="356"/>
    </row>
    <row r="78" spans="1:16" s="23" customFormat="1" ht="25.5" x14ac:dyDescent="0.25">
      <c r="A78" s="43">
        <f t="shared" si="8"/>
        <v>68</v>
      </c>
      <c r="B78" s="14" t="s">
        <v>113</v>
      </c>
      <c r="C78" s="8" t="s">
        <v>114</v>
      </c>
      <c r="D78" s="5" t="s">
        <v>22</v>
      </c>
      <c r="E78" s="6" t="s">
        <v>8</v>
      </c>
      <c r="F78" s="7">
        <v>1</v>
      </c>
      <c r="G78" s="313">
        <f>13.1+2.8</f>
        <v>15.9</v>
      </c>
      <c r="H78" s="2"/>
      <c r="I78" s="4"/>
      <c r="J78" s="21">
        <f>I78</f>
        <v>0</v>
      </c>
      <c r="K78" s="21"/>
      <c r="L78" s="21">
        <f>G78*I78</f>
        <v>0</v>
      </c>
      <c r="M78" s="22">
        <f>L78</f>
        <v>0</v>
      </c>
      <c r="O78" s="354"/>
    </row>
    <row r="79" spans="1:16" s="68" customFormat="1" ht="25.5" x14ac:dyDescent="0.25">
      <c r="A79" s="41">
        <f t="shared" si="8"/>
        <v>69</v>
      </c>
      <c r="B79" s="38" t="s">
        <v>64</v>
      </c>
      <c r="C79" s="314" t="s">
        <v>63</v>
      </c>
      <c r="D79" s="315" t="s">
        <v>25</v>
      </c>
      <c r="E79" s="316" t="s">
        <v>8</v>
      </c>
      <c r="F79" s="317">
        <v>1.07</v>
      </c>
      <c r="G79" s="318">
        <f>G78*F79</f>
        <v>17.010000000000002</v>
      </c>
      <c r="H79" s="3"/>
      <c r="I79" s="24"/>
      <c r="J79" s="25">
        <f>H79</f>
        <v>0</v>
      </c>
      <c r="K79" s="25">
        <f>G79*H79</f>
        <v>0</v>
      </c>
      <c r="L79" s="25"/>
      <c r="M79" s="26">
        <f>K79</f>
        <v>0</v>
      </c>
      <c r="O79" s="356"/>
    </row>
    <row r="80" spans="1:16" s="68" customFormat="1" ht="25.5" x14ac:dyDescent="0.25">
      <c r="A80" s="42">
        <f t="shared" si="8"/>
        <v>70</v>
      </c>
      <c r="B80" s="15"/>
      <c r="C80" s="314" t="s">
        <v>9</v>
      </c>
      <c r="D80" s="315" t="s">
        <v>25</v>
      </c>
      <c r="E80" s="316" t="s">
        <v>10</v>
      </c>
      <c r="F80" s="317">
        <v>12</v>
      </c>
      <c r="G80" s="318">
        <f>G78*F80</f>
        <v>190.8</v>
      </c>
      <c r="H80" s="3"/>
      <c r="I80" s="24"/>
      <c r="J80" s="25">
        <f>H80</f>
        <v>0</v>
      </c>
      <c r="K80" s="25">
        <f>G80*H80</f>
        <v>0</v>
      </c>
      <c r="L80" s="25"/>
      <c r="M80" s="26">
        <f>K80</f>
        <v>0</v>
      </c>
      <c r="O80" s="356"/>
    </row>
    <row r="81" spans="1:15" s="68" customFormat="1" ht="25.5" x14ac:dyDescent="0.25">
      <c r="A81" s="42">
        <f t="shared" si="8"/>
        <v>71</v>
      </c>
      <c r="B81" s="15"/>
      <c r="C81" s="314" t="s">
        <v>11</v>
      </c>
      <c r="D81" s="315" t="s">
        <v>25</v>
      </c>
      <c r="E81" s="316" t="s">
        <v>10</v>
      </c>
      <c r="F81" s="317">
        <v>0.25</v>
      </c>
      <c r="G81" s="318">
        <f>G78*F81</f>
        <v>3.98</v>
      </c>
      <c r="H81" s="3"/>
      <c r="I81" s="24"/>
      <c r="J81" s="25">
        <f>H81</f>
        <v>0</v>
      </c>
      <c r="K81" s="25">
        <f>G81*H81</f>
        <v>0</v>
      </c>
      <c r="L81" s="25"/>
      <c r="M81" s="26">
        <f>K81</f>
        <v>0</v>
      </c>
      <c r="O81" s="356"/>
    </row>
    <row r="82" spans="1:15" s="23" customFormat="1" ht="25.5" x14ac:dyDescent="0.25">
      <c r="A82" s="43">
        <f t="shared" si="8"/>
        <v>72</v>
      </c>
      <c r="B82" s="14" t="s">
        <v>113</v>
      </c>
      <c r="C82" s="8" t="s">
        <v>116</v>
      </c>
      <c r="D82" s="5" t="s">
        <v>22</v>
      </c>
      <c r="E82" s="6" t="s">
        <v>8</v>
      </c>
      <c r="F82" s="7">
        <v>1</v>
      </c>
      <c r="G82" s="313">
        <f>7.1+7.13</f>
        <v>14.23</v>
      </c>
      <c r="H82" s="2"/>
      <c r="I82" s="4"/>
      <c r="J82" s="21">
        <f>I82</f>
        <v>0</v>
      </c>
      <c r="K82" s="21"/>
      <c r="L82" s="21">
        <f>G82*I82</f>
        <v>0</v>
      </c>
      <c r="M82" s="22">
        <f>L82</f>
        <v>0</v>
      </c>
      <c r="O82" s="354"/>
    </row>
    <row r="83" spans="1:15" s="68" customFormat="1" ht="25.5" x14ac:dyDescent="0.25">
      <c r="A83" s="42">
        <f t="shared" si="8"/>
        <v>73</v>
      </c>
      <c r="B83" s="38" t="s">
        <v>68</v>
      </c>
      <c r="C83" s="314" t="s">
        <v>67</v>
      </c>
      <c r="D83" s="315" t="s">
        <v>25</v>
      </c>
      <c r="E83" s="316" t="s">
        <v>8</v>
      </c>
      <c r="F83" s="317">
        <v>1.07</v>
      </c>
      <c r="G83" s="318">
        <f>G82*F83</f>
        <v>15.23</v>
      </c>
      <c r="H83" s="3"/>
      <c r="I83" s="24"/>
      <c r="J83" s="25">
        <f>H83</f>
        <v>0</v>
      </c>
      <c r="K83" s="25">
        <f>G83*H83</f>
        <v>0</v>
      </c>
      <c r="L83" s="25"/>
      <c r="M83" s="26">
        <f>K83</f>
        <v>0</v>
      </c>
      <c r="O83" s="356"/>
    </row>
    <row r="84" spans="1:15" s="68" customFormat="1" ht="25.5" x14ac:dyDescent="0.25">
      <c r="A84" s="42">
        <f t="shared" si="8"/>
        <v>74</v>
      </c>
      <c r="B84" s="15"/>
      <c r="C84" s="314" t="s">
        <v>9</v>
      </c>
      <c r="D84" s="315" t="s">
        <v>25</v>
      </c>
      <c r="E84" s="316" t="s">
        <v>10</v>
      </c>
      <c r="F84" s="317">
        <v>12</v>
      </c>
      <c r="G84" s="318">
        <f>G82*F84</f>
        <v>170.76</v>
      </c>
      <c r="H84" s="3"/>
      <c r="I84" s="24"/>
      <c r="J84" s="25">
        <f>H84</f>
        <v>0</v>
      </c>
      <c r="K84" s="25">
        <f>G84*H84</f>
        <v>0</v>
      </c>
      <c r="L84" s="25"/>
      <c r="M84" s="26">
        <f>K84</f>
        <v>0</v>
      </c>
      <c r="O84" s="356"/>
    </row>
    <row r="85" spans="1:15" s="68" customFormat="1" ht="25.5" x14ac:dyDescent="0.25">
      <c r="A85" s="42">
        <f t="shared" si="8"/>
        <v>75</v>
      </c>
      <c r="B85" s="15"/>
      <c r="C85" s="314" t="s">
        <v>11</v>
      </c>
      <c r="D85" s="315" t="s">
        <v>25</v>
      </c>
      <c r="E85" s="316" t="s">
        <v>10</v>
      </c>
      <c r="F85" s="317">
        <v>0.25</v>
      </c>
      <c r="G85" s="318">
        <f>G82*F85</f>
        <v>3.56</v>
      </c>
      <c r="H85" s="3"/>
      <c r="I85" s="24"/>
      <c r="J85" s="25">
        <f>H85</f>
        <v>0</v>
      </c>
      <c r="K85" s="25">
        <f>G85*H85</f>
        <v>0</v>
      </c>
      <c r="L85" s="25"/>
      <c r="M85" s="26">
        <f>K85</f>
        <v>0</v>
      </c>
      <c r="O85" s="356"/>
    </row>
    <row r="86" spans="1:15" s="23" customFormat="1" ht="25.5" x14ac:dyDescent="0.25">
      <c r="A86" s="43">
        <f t="shared" si="8"/>
        <v>76</v>
      </c>
      <c r="B86" s="14" t="s">
        <v>113</v>
      </c>
      <c r="C86" s="8" t="s">
        <v>115</v>
      </c>
      <c r="D86" s="5" t="s">
        <v>22</v>
      </c>
      <c r="E86" s="6" t="s">
        <v>8</v>
      </c>
      <c r="F86" s="7">
        <v>1</v>
      </c>
      <c r="G86" s="313">
        <f>3.9+3.89</f>
        <v>7.79</v>
      </c>
      <c r="H86" s="2"/>
      <c r="I86" s="4"/>
      <c r="J86" s="21">
        <f>I86</f>
        <v>0</v>
      </c>
      <c r="K86" s="21"/>
      <c r="L86" s="21">
        <f>G86*I86</f>
        <v>0</v>
      </c>
      <c r="M86" s="22">
        <f>L86</f>
        <v>0</v>
      </c>
      <c r="O86" s="354"/>
    </row>
    <row r="87" spans="1:15" s="68" customFormat="1" ht="25.5" x14ac:dyDescent="0.25">
      <c r="A87" s="42">
        <f t="shared" si="8"/>
        <v>77</v>
      </c>
      <c r="B87" s="38" t="s">
        <v>69</v>
      </c>
      <c r="C87" s="314" t="s">
        <v>67</v>
      </c>
      <c r="D87" s="315" t="s">
        <v>25</v>
      </c>
      <c r="E87" s="316" t="s">
        <v>8</v>
      </c>
      <c r="F87" s="317">
        <v>1.07</v>
      </c>
      <c r="G87" s="318">
        <f>G86*F87</f>
        <v>8.34</v>
      </c>
      <c r="H87" s="3"/>
      <c r="I87" s="24"/>
      <c r="J87" s="25">
        <f>H87</f>
        <v>0</v>
      </c>
      <c r="K87" s="25">
        <f>G87*H87</f>
        <v>0</v>
      </c>
      <c r="L87" s="25"/>
      <c r="M87" s="26">
        <f>K87</f>
        <v>0</v>
      </c>
      <c r="O87" s="356"/>
    </row>
    <row r="88" spans="1:15" s="68" customFormat="1" ht="25.5" x14ac:dyDescent="0.25">
      <c r="A88" s="42">
        <f t="shared" si="8"/>
        <v>78</v>
      </c>
      <c r="B88" s="15"/>
      <c r="C88" s="314" t="s">
        <v>9</v>
      </c>
      <c r="D88" s="315" t="s">
        <v>25</v>
      </c>
      <c r="E88" s="316" t="s">
        <v>10</v>
      </c>
      <c r="F88" s="317">
        <v>12</v>
      </c>
      <c r="G88" s="318">
        <f>G86*F88</f>
        <v>93.48</v>
      </c>
      <c r="H88" s="3"/>
      <c r="I88" s="24"/>
      <c r="J88" s="25">
        <f>H88</f>
        <v>0</v>
      </c>
      <c r="K88" s="25">
        <f>G88*H88</f>
        <v>0</v>
      </c>
      <c r="L88" s="25"/>
      <c r="M88" s="26">
        <f>K88</f>
        <v>0</v>
      </c>
      <c r="O88" s="356"/>
    </row>
    <row r="89" spans="1:15" s="68" customFormat="1" ht="25.5" x14ac:dyDescent="0.25">
      <c r="A89" s="42">
        <f t="shared" si="8"/>
        <v>79</v>
      </c>
      <c r="B89" s="15"/>
      <c r="C89" s="314" t="s">
        <v>11</v>
      </c>
      <c r="D89" s="315" t="s">
        <v>25</v>
      </c>
      <c r="E89" s="316" t="s">
        <v>10</v>
      </c>
      <c r="F89" s="317">
        <v>0.25</v>
      </c>
      <c r="G89" s="318">
        <f>G86*F89</f>
        <v>1.95</v>
      </c>
      <c r="H89" s="3"/>
      <c r="I89" s="24"/>
      <c r="J89" s="25">
        <f>H89</f>
        <v>0</v>
      </c>
      <c r="K89" s="25">
        <f>G89*H89</f>
        <v>0</v>
      </c>
      <c r="L89" s="25"/>
      <c r="M89" s="26">
        <f>K89</f>
        <v>0</v>
      </c>
      <c r="O89" s="356"/>
    </row>
    <row r="90" spans="1:15" s="23" customFormat="1" ht="25.5" x14ac:dyDescent="0.25">
      <c r="A90" s="43">
        <f t="shared" si="8"/>
        <v>80</v>
      </c>
      <c r="B90" s="14" t="s">
        <v>113</v>
      </c>
      <c r="C90" s="8" t="s">
        <v>17</v>
      </c>
      <c r="D90" s="5" t="s">
        <v>22</v>
      </c>
      <c r="E90" s="6" t="s">
        <v>12</v>
      </c>
      <c r="F90" s="7">
        <v>1</v>
      </c>
      <c r="G90" s="313">
        <v>28.6</v>
      </c>
      <c r="H90" s="2"/>
      <c r="I90" s="4"/>
      <c r="J90" s="21">
        <f>I90</f>
        <v>0</v>
      </c>
      <c r="K90" s="21"/>
      <c r="L90" s="21">
        <f>G90*I90</f>
        <v>0</v>
      </c>
      <c r="M90" s="22">
        <f>L90</f>
        <v>0</v>
      </c>
      <c r="O90" s="354"/>
    </row>
    <row r="91" spans="1:15" s="68" customFormat="1" ht="25.5" x14ac:dyDescent="0.25">
      <c r="A91" s="42">
        <f t="shared" si="8"/>
        <v>81</v>
      </c>
      <c r="B91" s="15" t="s">
        <v>65</v>
      </c>
      <c r="C91" s="314" t="s">
        <v>66</v>
      </c>
      <c r="D91" s="315" t="s">
        <v>25</v>
      </c>
      <c r="E91" s="316" t="s">
        <v>8</v>
      </c>
      <c r="F91" s="317">
        <v>1.07</v>
      </c>
      <c r="G91" s="318">
        <f>G90*0.1*F91</f>
        <v>3.06</v>
      </c>
      <c r="H91" s="3"/>
      <c r="I91" s="24"/>
      <c r="J91" s="25">
        <f>H91</f>
        <v>0</v>
      </c>
      <c r="K91" s="25">
        <f>G91*H91</f>
        <v>0</v>
      </c>
      <c r="L91" s="25"/>
      <c r="M91" s="26">
        <f>K91</f>
        <v>0</v>
      </c>
      <c r="O91" s="356"/>
    </row>
    <row r="92" spans="1:15" s="68" customFormat="1" ht="25.5" x14ac:dyDescent="0.25">
      <c r="A92" s="42">
        <f t="shared" si="8"/>
        <v>82</v>
      </c>
      <c r="B92" s="15"/>
      <c r="C92" s="314" t="s">
        <v>9</v>
      </c>
      <c r="D92" s="315" t="s">
        <v>25</v>
      </c>
      <c r="E92" s="316" t="s">
        <v>10</v>
      </c>
      <c r="F92" s="317">
        <v>12</v>
      </c>
      <c r="G92" s="318">
        <f>G90*0.1*F92</f>
        <v>34.32</v>
      </c>
      <c r="H92" s="3"/>
      <c r="I92" s="24"/>
      <c r="J92" s="25">
        <f>H92</f>
        <v>0</v>
      </c>
      <c r="K92" s="25">
        <f>G92*H92</f>
        <v>0</v>
      </c>
      <c r="L92" s="25"/>
      <c r="M92" s="26">
        <f>K92</f>
        <v>0</v>
      </c>
      <c r="O92" s="356"/>
    </row>
    <row r="93" spans="1:15" s="68" customFormat="1" ht="25.5" x14ac:dyDescent="0.25">
      <c r="A93" s="42">
        <f t="shared" si="8"/>
        <v>83</v>
      </c>
      <c r="B93" s="15"/>
      <c r="C93" s="314" t="s">
        <v>11</v>
      </c>
      <c r="D93" s="315" t="s">
        <v>25</v>
      </c>
      <c r="E93" s="316" t="s">
        <v>10</v>
      </c>
      <c r="F93" s="317">
        <v>0.25</v>
      </c>
      <c r="G93" s="318">
        <f>G90*0.1*F93</f>
        <v>0.72</v>
      </c>
      <c r="H93" s="3"/>
      <c r="I93" s="24"/>
      <c r="J93" s="25">
        <f>H93</f>
        <v>0</v>
      </c>
      <c r="K93" s="25">
        <f>G93*H93</f>
        <v>0</v>
      </c>
      <c r="L93" s="25"/>
      <c r="M93" s="26">
        <f>K93</f>
        <v>0</v>
      </c>
      <c r="O93" s="356"/>
    </row>
    <row r="94" spans="1:15" s="68" customFormat="1" ht="25.5" x14ac:dyDescent="0.25">
      <c r="A94" s="42">
        <f t="shared" si="8"/>
        <v>84</v>
      </c>
      <c r="B94" s="15"/>
      <c r="C94" s="314" t="s">
        <v>46</v>
      </c>
      <c r="D94" s="315" t="s">
        <v>25</v>
      </c>
      <c r="E94" s="316" t="s">
        <v>12</v>
      </c>
      <c r="F94" s="317">
        <v>1.1000000000000001</v>
      </c>
      <c r="G94" s="318">
        <f>G90*F94</f>
        <v>31.46</v>
      </c>
      <c r="H94" s="3"/>
      <c r="I94" s="24"/>
      <c r="J94" s="25">
        <f>H94</f>
        <v>0</v>
      </c>
      <c r="K94" s="25">
        <f>G94*H94</f>
        <v>0</v>
      </c>
      <c r="L94" s="25"/>
      <c r="M94" s="26">
        <f>K94</f>
        <v>0</v>
      </c>
      <c r="O94" s="356"/>
    </row>
    <row r="95" spans="1:15" s="23" customFormat="1" ht="12.75" x14ac:dyDescent="0.25">
      <c r="A95" s="43">
        <f t="shared" si="8"/>
        <v>85</v>
      </c>
      <c r="B95" s="14" t="s">
        <v>113</v>
      </c>
      <c r="C95" s="8" t="s">
        <v>47</v>
      </c>
      <c r="D95" s="5" t="s">
        <v>22</v>
      </c>
      <c r="E95" s="6" t="s">
        <v>8</v>
      </c>
      <c r="F95" s="7">
        <v>1</v>
      </c>
      <c r="G95" s="313">
        <f>G96</f>
        <v>12.6</v>
      </c>
      <c r="H95" s="2"/>
      <c r="I95" s="4"/>
      <c r="J95" s="21">
        <f>I95</f>
        <v>0</v>
      </c>
      <c r="K95" s="21"/>
      <c r="L95" s="21">
        <f>G95*I95</f>
        <v>0</v>
      </c>
      <c r="M95" s="22">
        <f>L95</f>
        <v>0</v>
      </c>
      <c r="O95" s="354"/>
    </row>
    <row r="96" spans="1:15" s="68" customFormat="1" ht="25.5" x14ac:dyDescent="0.25">
      <c r="A96" s="42">
        <f t="shared" si="8"/>
        <v>86</v>
      </c>
      <c r="B96" s="15" t="s">
        <v>73</v>
      </c>
      <c r="C96" s="331" t="s">
        <v>70</v>
      </c>
      <c r="D96" s="315" t="s">
        <v>25</v>
      </c>
      <c r="E96" s="316" t="s">
        <v>8</v>
      </c>
      <c r="F96" s="317">
        <v>1</v>
      </c>
      <c r="G96" s="318">
        <f>6.7+5.9</f>
        <v>12.6</v>
      </c>
      <c r="H96" s="30"/>
      <c r="I96" s="24"/>
      <c r="J96" s="25">
        <f>H96</f>
        <v>0</v>
      </c>
      <c r="K96" s="25">
        <f>G96*H96</f>
        <v>0</v>
      </c>
      <c r="L96" s="25"/>
      <c r="M96" s="26">
        <f>K96</f>
        <v>0</v>
      </c>
      <c r="O96" s="356"/>
    </row>
    <row r="97" spans="1:16" s="68" customFormat="1" ht="25.5" x14ac:dyDescent="0.25">
      <c r="A97" s="42">
        <f t="shared" si="8"/>
        <v>87</v>
      </c>
      <c r="B97" s="15" t="s">
        <v>74</v>
      </c>
      <c r="C97" s="331" t="s">
        <v>71</v>
      </c>
      <c r="D97" s="315" t="s">
        <v>25</v>
      </c>
      <c r="E97" s="316" t="s">
        <v>24</v>
      </c>
      <c r="F97" s="317">
        <v>1.1000000000000001</v>
      </c>
      <c r="G97" s="318">
        <f>20.2*F97</f>
        <v>22.22</v>
      </c>
      <c r="H97" s="30"/>
      <c r="I97" s="24"/>
      <c r="J97" s="25">
        <f>H97</f>
        <v>0</v>
      </c>
      <c r="K97" s="25">
        <f>G97*H97</f>
        <v>0</v>
      </c>
      <c r="L97" s="25"/>
      <c r="M97" s="26">
        <f>K97</f>
        <v>0</v>
      </c>
      <c r="O97" s="356"/>
    </row>
    <row r="98" spans="1:16" s="23" customFormat="1" ht="12.75" x14ac:dyDescent="0.25">
      <c r="A98" s="43">
        <f t="shared" si="8"/>
        <v>88</v>
      </c>
      <c r="B98" s="14" t="s">
        <v>113</v>
      </c>
      <c r="C98" s="8" t="s">
        <v>48</v>
      </c>
      <c r="D98" s="5" t="s">
        <v>22</v>
      </c>
      <c r="E98" s="6" t="s">
        <v>8</v>
      </c>
      <c r="F98" s="7">
        <v>1</v>
      </c>
      <c r="G98" s="313">
        <f>G99</f>
        <v>5.2</v>
      </c>
      <c r="H98" s="2"/>
      <c r="I98" s="4"/>
      <c r="J98" s="21">
        <f>I98</f>
        <v>0</v>
      </c>
      <c r="K98" s="21"/>
      <c r="L98" s="21">
        <f>G98*I98</f>
        <v>0</v>
      </c>
      <c r="M98" s="22">
        <f>L98</f>
        <v>0</v>
      </c>
      <c r="O98" s="354"/>
    </row>
    <row r="99" spans="1:16" s="68" customFormat="1" ht="25.5" x14ac:dyDescent="0.2">
      <c r="A99" s="42">
        <f t="shared" si="8"/>
        <v>89</v>
      </c>
      <c r="B99" s="15" t="s">
        <v>75</v>
      </c>
      <c r="C99" s="332" t="s">
        <v>72</v>
      </c>
      <c r="D99" s="315" t="s">
        <v>25</v>
      </c>
      <c r="E99" s="316" t="s">
        <v>8</v>
      </c>
      <c r="F99" s="317">
        <v>1</v>
      </c>
      <c r="G99" s="318">
        <f>2.4+2.8</f>
        <v>5.2</v>
      </c>
      <c r="H99" s="30"/>
      <c r="I99" s="24"/>
      <c r="J99" s="25">
        <f>H99</f>
        <v>0</v>
      </c>
      <c r="K99" s="25">
        <f>G99*H99</f>
        <v>0</v>
      </c>
      <c r="L99" s="25"/>
      <c r="M99" s="26">
        <f>K99</f>
        <v>0</v>
      </c>
      <c r="O99" s="356"/>
    </row>
    <row r="100" spans="1:16" s="23" customFormat="1" ht="12.75" x14ac:dyDescent="0.25">
      <c r="A100" s="297">
        <f>ROW()-10</f>
        <v>90</v>
      </c>
      <c r="B100" s="298" t="s">
        <v>84</v>
      </c>
      <c r="C100" s="299" t="s">
        <v>128</v>
      </c>
      <c r="D100" s="48"/>
      <c r="E100" s="300"/>
      <c r="F100" s="301"/>
      <c r="G100" s="302"/>
      <c r="H100" s="49"/>
      <c r="I100" s="50"/>
      <c r="J100" s="51"/>
      <c r="K100" s="51"/>
      <c r="L100" s="51"/>
      <c r="M100" s="52"/>
      <c r="N100" s="44"/>
      <c r="O100" s="355"/>
      <c r="P100" s="44"/>
    </row>
    <row r="101" spans="1:16" s="44" customFormat="1" ht="25.5" customHeight="1" x14ac:dyDescent="0.25">
      <c r="A101" s="305">
        <f>ROW()-10</f>
        <v>91</v>
      </c>
      <c r="B101" s="306" t="s">
        <v>87</v>
      </c>
      <c r="C101" s="307" t="s">
        <v>88</v>
      </c>
      <c r="D101" s="36"/>
      <c r="E101" s="308"/>
      <c r="F101" s="309"/>
      <c r="G101" s="310"/>
      <c r="H101" s="39"/>
      <c r="I101" s="37"/>
      <c r="J101" s="28"/>
      <c r="K101" s="28"/>
      <c r="L101" s="28"/>
      <c r="M101" s="40"/>
      <c r="N101" s="23"/>
      <c r="O101" s="354"/>
      <c r="P101" s="23"/>
    </row>
    <row r="102" spans="1:16" s="23" customFormat="1" ht="12.75" x14ac:dyDescent="0.25">
      <c r="A102" s="43">
        <f t="shared" ref="A102:A109" si="9">ROW()-10</f>
        <v>92</v>
      </c>
      <c r="B102" s="14" t="s">
        <v>99</v>
      </c>
      <c r="C102" s="55" t="s">
        <v>100</v>
      </c>
      <c r="D102" s="5" t="s">
        <v>22</v>
      </c>
      <c r="E102" s="6" t="s">
        <v>8</v>
      </c>
      <c r="F102" s="7">
        <v>1</v>
      </c>
      <c r="G102" s="313">
        <f>(34.8+14.3)*12</f>
        <v>589.20000000000005</v>
      </c>
      <c r="H102" s="2"/>
      <c r="I102" s="4"/>
      <c r="J102" s="21">
        <f>I102</f>
        <v>0</v>
      </c>
      <c r="K102" s="21"/>
      <c r="L102" s="21">
        <f>G102*I102</f>
        <v>0</v>
      </c>
      <c r="M102" s="22">
        <f>L102</f>
        <v>0</v>
      </c>
      <c r="O102" s="354"/>
    </row>
    <row r="103" spans="1:16" s="68" customFormat="1" ht="25.5" x14ac:dyDescent="0.25">
      <c r="A103" s="42">
        <f t="shared" si="9"/>
        <v>93</v>
      </c>
      <c r="B103" s="15"/>
      <c r="C103" s="326" t="s">
        <v>13</v>
      </c>
      <c r="D103" s="315" t="s">
        <v>25</v>
      </c>
      <c r="E103" s="316" t="s">
        <v>14</v>
      </c>
      <c r="F103" s="317">
        <v>0.1</v>
      </c>
      <c r="G103" s="318">
        <f>G102*F103</f>
        <v>58.92</v>
      </c>
      <c r="H103" s="3"/>
      <c r="I103" s="24"/>
      <c r="J103" s="25">
        <f>H103</f>
        <v>0</v>
      </c>
      <c r="K103" s="25">
        <f>G103*H103</f>
        <v>0</v>
      </c>
      <c r="L103" s="25"/>
      <c r="M103" s="26">
        <f>K103</f>
        <v>0</v>
      </c>
      <c r="O103" s="356"/>
    </row>
    <row r="104" spans="1:16" s="68" customFormat="1" ht="25.5" x14ac:dyDescent="0.25">
      <c r="A104" s="42">
        <f t="shared" si="9"/>
        <v>94</v>
      </c>
      <c r="B104" s="15"/>
      <c r="C104" s="326" t="s">
        <v>101</v>
      </c>
      <c r="D104" s="315" t="s">
        <v>25</v>
      </c>
      <c r="E104" s="316" t="s">
        <v>10</v>
      </c>
      <c r="F104" s="317">
        <v>1.2</v>
      </c>
      <c r="G104" s="318">
        <f>G102*F104</f>
        <v>707.04</v>
      </c>
      <c r="H104" s="3"/>
      <c r="I104" s="24"/>
      <c r="J104" s="25">
        <f>H104</f>
        <v>0</v>
      </c>
      <c r="K104" s="25">
        <f>G104*H104</f>
        <v>0</v>
      </c>
      <c r="L104" s="25"/>
      <c r="M104" s="26">
        <f>K104</f>
        <v>0</v>
      </c>
      <c r="O104" s="356"/>
    </row>
    <row r="105" spans="1:16" s="68" customFormat="1" ht="25.5" x14ac:dyDescent="0.25">
      <c r="A105" s="42">
        <f t="shared" si="9"/>
        <v>95</v>
      </c>
      <c r="B105" s="15"/>
      <c r="C105" s="314" t="s">
        <v>23</v>
      </c>
      <c r="D105" s="315" t="s">
        <v>25</v>
      </c>
      <c r="E105" s="316" t="s">
        <v>10</v>
      </c>
      <c r="F105" s="317">
        <v>1.7</v>
      </c>
      <c r="G105" s="318">
        <f>G102*F105</f>
        <v>1001.64</v>
      </c>
      <c r="H105" s="3"/>
      <c r="I105" s="24"/>
      <c r="J105" s="25">
        <f>H105</f>
        <v>0</v>
      </c>
      <c r="K105" s="25">
        <f>G105*H105</f>
        <v>0</v>
      </c>
      <c r="L105" s="25"/>
      <c r="M105" s="26">
        <f>K105</f>
        <v>0</v>
      </c>
      <c r="O105" s="356"/>
    </row>
    <row r="106" spans="1:16" s="23" customFormat="1" ht="38.25" x14ac:dyDescent="0.25">
      <c r="A106" s="43">
        <f t="shared" si="9"/>
        <v>96</v>
      </c>
      <c r="B106" s="14" t="s">
        <v>102</v>
      </c>
      <c r="C106" s="8" t="s">
        <v>103</v>
      </c>
      <c r="D106" s="5" t="s">
        <v>22</v>
      </c>
      <c r="E106" s="6" t="s">
        <v>8</v>
      </c>
      <c r="F106" s="7">
        <v>1</v>
      </c>
      <c r="G106" s="313">
        <f>G102</f>
        <v>589.20000000000005</v>
      </c>
      <c r="H106" s="2"/>
      <c r="I106" s="4"/>
      <c r="J106" s="21">
        <f>I106</f>
        <v>0</v>
      </c>
      <c r="K106" s="21"/>
      <c r="L106" s="21">
        <f>G106*I106</f>
        <v>0</v>
      </c>
      <c r="M106" s="22">
        <f>L106</f>
        <v>0</v>
      </c>
      <c r="O106" s="354"/>
    </row>
    <row r="107" spans="1:16" s="68" customFormat="1" ht="25.5" x14ac:dyDescent="0.25">
      <c r="A107" s="42">
        <f t="shared" si="9"/>
        <v>97</v>
      </c>
      <c r="B107" s="15"/>
      <c r="C107" s="314" t="s">
        <v>13</v>
      </c>
      <c r="D107" s="315" t="s">
        <v>25</v>
      </c>
      <c r="E107" s="316" t="s">
        <v>14</v>
      </c>
      <c r="F107" s="317">
        <v>0.1</v>
      </c>
      <c r="G107" s="318">
        <f>G106*F107</f>
        <v>58.92</v>
      </c>
      <c r="H107" s="3"/>
      <c r="I107" s="24"/>
      <c r="J107" s="25">
        <f>H107</f>
        <v>0</v>
      </c>
      <c r="K107" s="25">
        <f>G107*H107</f>
        <v>0</v>
      </c>
      <c r="L107" s="25"/>
      <c r="M107" s="26">
        <f>K107</f>
        <v>0</v>
      </c>
      <c r="O107" s="356"/>
    </row>
    <row r="108" spans="1:16" s="68" customFormat="1" ht="25.5" x14ac:dyDescent="0.25">
      <c r="A108" s="42">
        <f t="shared" si="9"/>
        <v>98</v>
      </c>
      <c r="B108" s="38"/>
      <c r="C108" s="314" t="s">
        <v>118</v>
      </c>
      <c r="D108" s="315" t="s">
        <v>25</v>
      </c>
      <c r="E108" s="316" t="s">
        <v>14</v>
      </c>
      <c r="F108" s="317">
        <v>0.3</v>
      </c>
      <c r="G108" s="318">
        <f>34.8*12*F108</f>
        <v>125.28</v>
      </c>
      <c r="H108" s="3"/>
      <c r="I108" s="24"/>
      <c r="J108" s="25">
        <f>H108</f>
        <v>0</v>
      </c>
      <c r="K108" s="25">
        <f>G108*H108</f>
        <v>0</v>
      </c>
      <c r="L108" s="25"/>
      <c r="M108" s="26">
        <f>K108</f>
        <v>0</v>
      </c>
      <c r="O108" s="356"/>
    </row>
    <row r="109" spans="1:16" s="68" customFormat="1" ht="25.5" x14ac:dyDescent="0.25">
      <c r="A109" s="42">
        <f t="shared" si="9"/>
        <v>99</v>
      </c>
      <c r="B109" s="38"/>
      <c r="C109" s="314" t="s">
        <v>122</v>
      </c>
      <c r="D109" s="315" t="s">
        <v>25</v>
      </c>
      <c r="E109" s="316" t="s">
        <v>14</v>
      </c>
      <c r="F109" s="317">
        <v>0.3</v>
      </c>
      <c r="G109" s="318">
        <f>14.3*12*F109</f>
        <v>51.48</v>
      </c>
      <c r="H109" s="3"/>
      <c r="I109" s="24"/>
      <c r="J109" s="25">
        <f>H109</f>
        <v>0</v>
      </c>
      <c r="K109" s="25">
        <f>G109*H109</f>
        <v>0</v>
      </c>
      <c r="L109" s="25"/>
      <c r="M109" s="26">
        <f>K109</f>
        <v>0</v>
      </c>
      <c r="N109" s="71"/>
      <c r="O109" s="390"/>
      <c r="P109" s="71"/>
    </row>
    <row r="110" spans="1:16" s="44" customFormat="1" ht="25.5" customHeight="1" x14ac:dyDescent="0.25">
      <c r="A110" s="256">
        <f>ROW()-10</f>
        <v>100</v>
      </c>
      <c r="B110" s="306" t="s">
        <v>110</v>
      </c>
      <c r="C110" s="307" t="s">
        <v>109</v>
      </c>
      <c r="D110" s="36"/>
      <c r="E110" s="308"/>
      <c r="F110" s="309"/>
      <c r="G110" s="310"/>
      <c r="H110" s="39"/>
      <c r="I110" s="37"/>
      <c r="J110" s="28"/>
      <c r="K110" s="28"/>
      <c r="L110" s="28"/>
      <c r="M110" s="40"/>
      <c r="N110" s="27"/>
      <c r="O110" s="357"/>
      <c r="P110" s="27"/>
    </row>
    <row r="111" spans="1:16" s="27" customFormat="1" ht="12.75" x14ac:dyDescent="0.25">
      <c r="A111" s="43">
        <f t="shared" ref="A111:A130" si="10">ROW()-10</f>
        <v>101</v>
      </c>
      <c r="B111" s="14" t="s">
        <v>110</v>
      </c>
      <c r="C111" s="55" t="s">
        <v>21</v>
      </c>
      <c r="D111" s="5" t="s">
        <v>22</v>
      </c>
      <c r="E111" s="6" t="s">
        <v>8</v>
      </c>
      <c r="F111" s="7">
        <v>1</v>
      </c>
      <c r="G111" s="18">
        <f>171.94*12</f>
        <v>2063.2800000000002</v>
      </c>
      <c r="H111" s="2"/>
      <c r="I111" s="4"/>
      <c r="J111" s="21">
        <f>I111</f>
        <v>0</v>
      </c>
      <c r="K111" s="21"/>
      <c r="L111" s="21">
        <f>G111*I111</f>
        <v>0</v>
      </c>
      <c r="M111" s="22">
        <f>L111</f>
        <v>0</v>
      </c>
      <c r="O111" s="357"/>
    </row>
    <row r="112" spans="1:16" s="27" customFormat="1" ht="25.5" x14ac:dyDescent="0.25">
      <c r="A112" s="42">
        <f t="shared" si="10"/>
        <v>102</v>
      </c>
      <c r="B112" s="15"/>
      <c r="C112" s="326" t="s">
        <v>13</v>
      </c>
      <c r="D112" s="315" t="s">
        <v>25</v>
      </c>
      <c r="E112" s="316" t="s">
        <v>14</v>
      </c>
      <c r="F112" s="317">
        <v>0.1</v>
      </c>
      <c r="G112" s="9">
        <f>G111*F112</f>
        <v>206.33</v>
      </c>
      <c r="H112" s="3"/>
      <c r="I112" s="24"/>
      <c r="J112" s="25">
        <f>H112</f>
        <v>0</v>
      </c>
      <c r="K112" s="25">
        <f>G112*H112</f>
        <v>0</v>
      </c>
      <c r="L112" s="25"/>
      <c r="M112" s="26">
        <f>K112</f>
        <v>0</v>
      </c>
      <c r="O112" s="357"/>
    </row>
    <row r="113" spans="1:16" s="27" customFormat="1" ht="25.5" x14ac:dyDescent="0.25">
      <c r="A113" s="42">
        <f t="shared" si="10"/>
        <v>103</v>
      </c>
      <c r="B113" s="15"/>
      <c r="C113" s="326" t="s">
        <v>52</v>
      </c>
      <c r="D113" s="315" t="s">
        <v>25</v>
      </c>
      <c r="E113" s="316" t="s">
        <v>10</v>
      </c>
      <c r="F113" s="317">
        <v>1.2</v>
      </c>
      <c r="G113" s="9">
        <f>G111*F113</f>
        <v>2475.94</v>
      </c>
      <c r="H113" s="3"/>
      <c r="I113" s="53"/>
      <c r="J113" s="25">
        <f>H113</f>
        <v>0</v>
      </c>
      <c r="K113" s="25">
        <f>G113*H113</f>
        <v>0</v>
      </c>
      <c r="L113" s="25"/>
      <c r="M113" s="26">
        <f>K113</f>
        <v>0</v>
      </c>
      <c r="O113" s="357"/>
    </row>
    <row r="114" spans="1:16" s="27" customFormat="1" ht="25.5" x14ac:dyDescent="0.25">
      <c r="A114" s="42">
        <f t="shared" si="10"/>
        <v>104</v>
      </c>
      <c r="B114" s="15"/>
      <c r="C114" s="314" t="s">
        <v>23</v>
      </c>
      <c r="D114" s="315" t="s">
        <v>25</v>
      </c>
      <c r="E114" s="316" t="s">
        <v>10</v>
      </c>
      <c r="F114" s="317">
        <v>1.7</v>
      </c>
      <c r="G114" s="9">
        <f>G111*F114</f>
        <v>3507.58</v>
      </c>
      <c r="H114" s="3"/>
      <c r="I114" s="24"/>
      <c r="J114" s="25">
        <f>H114</f>
        <v>0</v>
      </c>
      <c r="K114" s="25">
        <f>G114*H114</f>
        <v>0</v>
      </c>
      <c r="L114" s="25"/>
      <c r="M114" s="26">
        <f>K114</f>
        <v>0</v>
      </c>
      <c r="O114" s="357"/>
    </row>
    <row r="115" spans="1:16" s="27" customFormat="1" ht="45" customHeight="1" x14ac:dyDescent="0.25">
      <c r="A115" s="43">
        <f t="shared" si="10"/>
        <v>105</v>
      </c>
      <c r="B115" s="14" t="s">
        <v>110</v>
      </c>
      <c r="C115" s="54" t="s">
        <v>18</v>
      </c>
      <c r="D115" s="5" t="s">
        <v>22</v>
      </c>
      <c r="E115" s="6" t="s">
        <v>8</v>
      </c>
      <c r="F115" s="7">
        <v>1</v>
      </c>
      <c r="G115" s="18">
        <f>19.8*12</f>
        <v>237.6</v>
      </c>
      <c r="H115" s="2"/>
      <c r="I115" s="4"/>
      <c r="J115" s="21">
        <f>I115</f>
        <v>0</v>
      </c>
      <c r="K115" s="21"/>
      <c r="L115" s="21">
        <f>G115*I115</f>
        <v>0</v>
      </c>
      <c r="M115" s="22">
        <f>L115</f>
        <v>0</v>
      </c>
      <c r="N115" s="23"/>
      <c r="O115" s="354"/>
      <c r="P115" s="23"/>
    </row>
    <row r="116" spans="1:16" s="68" customFormat="1" ht="25.5" x14ac:dyDescent="0.25">
      <c r="A116" s="42">
        <f t="shared" si="10"/>
        <v>106</v>
      </c>
      <c r="B116" s="15"/>
      <c r="C116" s="314" t="s">
        <v>58</v>
      </c>
      <c r="D116" s="315" t="s">
        <v>25</v>
      </c>
      <c r="E116" s="316" t="s">
        <v>8</v>
      </c>
      <c r="F116" s="317">
        <v>1.07</v>
      </c>
      <c r="G116" s="318">
        <f>G115*F116</f>
        <v>254.23</v>
      </c>
      <c r="H116" s="3"/>
      <c r="I116" s="24"/>
      <c r="J116" s="25">
        <f>H116</f>
        <v>0</v>
      </c>
      <c r="K116" s="25">
        <f>G116*H116</f>
        <v>0</v>
      </c>
      <c r="L116" s="25"/>
      <c r="M116" s="26">
        <f>K116</f>
        <v>0</v>
      </c>
      <c r="O116" s="356"/>
    </row>
    <row r="117" spans="1:16" s="68" customFormat="1" ht="25.5" x14ac:dyDescent="0.25">
      <c r="A117" s="42">
        <f t="shared" si="10"/>
        <v>107</v>
      </c>
      <c r="B117" s="15"/>
      <c r="C117" s="314" t="s">
        <v>9</v>
      </c>
      <c r="D117" s="315" t="s">
        <v>25</v>
      </c>
      <c r="E117" s="316" t="s">
        <v>10</v>
      </c>
      <c r="F117" s="317">
        <v>12</v>
      </c>
      <c r="G117" s="318">
        <f>G115*0.3*F117</f>
        <v>855.36</v>
      </c>
      <c r="H117" s="3"/>
      <c r="I117" s="24"/>
      <c r="J117" s="25">
        <f>H117</f>
        <v>0</v>
      </c>
      <c r="K117" s="25">
        <f>G117*H117</f>
        <v>0</v>
      </c>
      <c r="L117" s="25"/>
      <c r="M117" s="26">
        <f>K117</f>
        <v>0</v>
      </c>
      <c r="O117" s="356"/>
    </row>
    <row r="118" spans="1:16" s="68" customFormat="1" ht="25.5" x14ac:dyDescent="0.25">
      <c r="A118" s="42">
        <f t="shared" si="10"/>
        <v>108</v>
      </c>
      <c r="B118" s="15"/>
      <c r="C118" s="314" t="s">
        <v>11</v>
      </c>
      <c r="D118" s="315" t="s">
        <v>25</v>
      </c>
      <c r="E118" s="316" t="s">
        <v>10</v>
      </c>
      <c r="F118" s="317">
        <v>0.25</v>
      </c>
      <c r="G118" s="318">
        <f>G115*0.3*F118</f>
        <v>17.82</v>
      </c>
      <c r="H118" s="3"/>
      <c r="I118" s="24"/>
      <c r="J118" s="25">
        <f>H118</f>
        <v>0</v>
      </c>
      <c r="K118" s="25">
        <f>G118*H118</f>
        <v>0</v>
      </c>
      <c r="L118" s="25"/>
      <c r="M118" s="26">
        <f>K118</f>
        <v>0</v>
      </c>
      <c r="O118" s="356"/>
    </row>
    <row r="119" spans="1:16" s="68" customFormat="1" ht="25.5" x14ac:dyDescent="0.25">
      <c r="A119" s="42">
        <f t="shared" si="10"/>
        <v>109</v>
      </c>
      <c r="B119" s="15"/>
      <c r="C119" s="314" t="s">
        <v>46</v>
      </c>
      <c r="D119" s="315" t="s">
        <v>25</v>
      </c>
      <c r="E119" s="316" t="s">
        <v>12</v>
      </c>
      <c r="F119" s="317">
        <v>1.1000000000000001</v>
      </c>
      <c r="G119" s="318">
        <f>9.57*12*F119</f>
        <v>126.32</v>
      </c>
      <c r="H119" s="3"/>
      <c r="I119" s="24"/>
      <c r="J119" s="25">
        <f>H119</f>
        <v>0</v>
      </c>
      <c r="K119" s="25">
        <f>G119*H119</f>
        <v>0</v>
      </c>
      <c r="L119" s="25"/>
      <c r="M119" s="26">
        <f>K119</f>
        <v>0</v>
      </c>
      <c r="N119" s="27"/>
      <c r="O119" s="357"/>
      <c r="P119" s="27"/>
    </row>
    <row r="120" spans="1:16" s="27" customFormat="1" ht="12.75" x14ac:dyDescent="0.25">
      <c r="A120" s="43">
        <f t="shared" si="10"/>
        <v>110</v>
      </c>
      <c r="B120" s="14" t="s">
        <v>110</v>
      </c>
      <c r="C120" s="8" t="s">
        <v>19</v>
      </c>
      <c r="D120" s="5" t="s">
        <v>22</v>
      </c>
      <c r="E120" s="6" t="s">
        <v>8</v>
      </c>
      <c r="F120" s="7">
        <v>1</v>
      </c>
      <c r="G120" s="18">
        <f>G111</f>
        <v>2063.2800000000002</v>
      </c>
      <c r="H120" s="2"/>
      <c r="I120" s="4"/>
      <c r="J120" s="21">
        <f>I120</f>
        <v>0</v>
      </c>
      <c r="K120" s="21"/>
      <c r="L120" s="21">
        <f>G120*I120</f>
        <v>0</v>
      </c>
      <c r="M120" s="22">
        <f>L120</f>
        <v>0</v>
      </c>
      <c r="N120" s="23"/>
      <c r="O120" s="354"/>
      <c r="P120" s="23"/>
    </row>
    <row r="121" spans="1:16" s="68" customFormat="1" ht="25.5" x14ac:dyDescent="0.25">
      <c r="A121" s="42">
        <f t="shared" si="10"/>
        <v>111</v>
      </c>
      <c r="B121" s="15"/>
      <c r="C121" s="314" t="s">
        <v>13</v>
      </c>
      <c r="D121" s="315" t="s">
        <v>25</v>
      </c>
      <c r="E121" s="316" t="s">
        <v>14</v>
      </c>
      <c r="F121" s="317">
        <v>0.1</v>
      </c>
      <c r="G121" s="318">
        <f>G120*F121</f>
        <v>206.33</v>
      </c>
      <c r="H121" s="3"/>
      <c r="I121" s="24"/>
      <c r="J121" s="25">
        <f>H121</f>
        <v>0</v>
      </c>
      <c r="K121" s="25">
        <f>G121*H121</f>
        <v>0</v>
      </c>
      <c r="L121" s="25"/>
      <c r="M121" s="26">
        <f>K121</f>
        <v>0</v>
      </c>
      <c r="O121" s="356"/>
    </row>
    <row r="122" spans="1:16" s="68" customFormat="1" ht="25.5" x14ac:dyDescent="0.25">
      <c r="A122" s="42">
        <f t="shared" si="10"/>
        <v>112</v>
      </c>
      <c r="B122" s="15"/>
      <c r="C122" s="314" t="s">
        <v>104</v>
      </c>
      <c r="D122" s="315" t="s">
        <v>25</v>
      </c>
      <c r="E122" s="316" t="s">
        <v>14</v>
      </c>
      <c r="F122" s="317">
        <v>0.3</v>
      </c>
      <c r="G122" s="318">
        <f>154.24*12*F122</f>
        <v>555.26</v>
      </c>
      <c r="H122" s="3"/>
      <c r="I122" s="24"/>
      <c r="J122" s="25">
        <f>H122</f>
        <v>0</v>
      </c>
      <c r="K122" s="25">
        <f>G122*H122</f>
        <v>0</v>
      </c>
      <c r="L122" s="25"/>
      <c r="M122" s="26">
        <f>K122</f>
        <v>0</v>
      </c>
      <c r="O122" s="356"/>
    </row>
    <row r="123" spans="1:16" s="68" customFormat="1" ht="25.5" x14ac:dyDescent="0.25">
      <c r="A123" s="42">
        <f t="shared" si="10"/>
        <v>113</v>
      </c>
      <c r="B123" s="15"/>
      <c r="C123" s="314" t="s">
        <v>105</v>
      </c>
      <c r="D123" s="315" t="s">
        <v>25</v>
      </c>
      <c r="E123" s="316" t="s">
        <v>14</v>
      </c>
      <c r="F123" s="317">
        <v>0.3</v>
      </c>
      <c r="G123" s="318">
        <f>13.1*12*F123</f>
        <v>47.16</v>
      </c>
      <c r="H123" s="3"/>
      <c r="I123" s="24"/>
      <c r="J123" s="25">
        <f>H123</f>
        <v>0</v>
      </c>
      <c r="K123" s="25">
        <f>G123*H123</f>
        <v>0</v>
      </c>
      <c r="L123" s="25"/>
      <c r="M123" s="26">
        <f>K123</f>
        <v>0</v>
      </c>
      <c r="O123" s="356"/>
    </row>
    <row r="124" spans="1:16" s="68" customFormat="1" ht="25.5" x14ac:dyDescent="0.25">
      <c r="A124" s="42">
        <f t="shared" si="10"/>
        <v>114</v>
      </c>
      <c r="B124" s="15"/>
      <c r="C124" s="314" t="s">
        <v>106</v>
      </c>
      <c r="D124" s="315" t="s">
        <v>25</v>
      </c>
      <c r="E124" s="316" t="s">
        <v>14</v>
      </c>
      <c r="F124" s="317">
        <v>0.3</v>
      </c>
      <c r="G124" s="318">
        <f>4.61*12*F124</f>
        <v>16.600000000000001</v>
      </c>
      <c r="H124" s="3"/>
      <c r="I124" s="24"/>
      <c r="J124" s="25">
        <f>H124</f>
        <v>0</v>
      </c>
      <c r="K124" s="25">
        <f>G124*H124</f>
        <v>0</v>
      </c>
      <c r="L124" s="25"/>
      <c r="M124" s="26">
        <f>K124</f>
        <v>0</v>
      </c>
      <c r="N124" s="27"/>
      <c r="O124" s="357"/>
      <c r="P124" s="27"/>
    </row>
    <row r="125" spans="1:16" s="27" customFormat="1" ht="21.75" customHeight="1" x14ac:dyDescent="0.25">
      <c r="A125" s="43">
        <f t="shared" si="10"/>
        <v>115</v>
      </c>
      <c r="B125" s="14" t="s">
        <v>110</v>
      </c>
      <c r="C125" s="8" t="s">
        <v>20</v>
      </c>
      <c r="D125" s="5" t="s">
        <v>22</v>
      </c>
      <c r="E125" s="6" t="s">
        <v>24</v>
      </c>
      <c r="F125" s="7">
        <v>1</v>
      </c>
      <c r="G125" s="18">
        <f>63.28*12</f>
        <v>759.36</v>
      </c>
      <c r="H125" s="2"/>
      <c r="I125" s="4"/>
      <c r="J125" s="21">
        <f>I125</f>
        <v>0</v>
      </c>
      <c r="K125" s="21"/>
      <c r="L125" s="21">
        <f>G125*I125</f>
        <v>0</v>
      </c>
      <c r="M125" s="22">
        <f>L125</f>
        <v>0</v>
      </c>
      <c r="O125" s="357"/>
    </row>
    <row r="126" spans="1:16" s="27" customFormat="1" ht="25.5" customHeight="1" x14ac:dyDescent="0.25">
      <c r="A126" s="42">
        <f t="shared" si="10"/>
        <v>116</v>
      </c>
      <c r="B126" s="15"/>
      <c r="C126" s="314" t="s">
        <v>32</v>
      </c>
      <c r="D126" s="315" t="s">
        <v>25</v>
      </c>
      <c r="E126" s="328" t="s">
        <v>10</v>
      </c>
      <c r="F126" s="329">
        <v>0.05</v>
      </c>
      <c r="G126" s="318">
        <f>G125*0.2*F126</f>
        <v>7.59</v>
      </c>
      <c r="H126" s="3"/>
      <c r="I126" s="24"/>
      <c r="J126" s="25">
        <f>H126</f>
        <v>0</v>
      </c>
      <c r="K126" s="25">
        <f>G126*H126</f>
        <v>0</v>
      </c>
      <c r="L126" s="25"/>
      <c r="M126" s="26">
        <f>K126</f>
        <v>0</v>
      </c>
      <c r="O126" s="357"/>
    </row>
    <row r="127" spans="1:16" s="27" customFormat="1" ht="25.5" x14ac:dyDescent="0.25">
      <c r="A127" s="42">
        <f t="shared" si="10"/>
        <v>117</v>
      </c>
      <c r="B127" s="15"/>
      <c r="C127" s="314" t="s">
        <v>33</v>
      </c>
      <c r="D127" s="315" t="s">
        <v>25</v>
      </c>
      <c r="E127" s="328" t="s">
        <v>10</v>
      </c>
      <c r="F127" s="329">
        <v>10</v>
      </c>
      <c r="G127" s="318">
        <f>G125*0.2*F127</f>
        <v>1518.72</v>
      </c>
      <c r="H127" s="3"/>
      <c r="I127" s="24"/>
      <c r="J127" s="25">
        <f>H127</f>
        <v>0</v>
      </c>
      <c r="K127" s="25">
        <f>G127*H127</f>
        <v>0</v>
      </c>
      <c r="L127" s="25"/>
      <c r="M127" s="26">
        <f>K127</f>
        <v>0</v>
      </c>
      <c r="O127" s="357"/>
    </row>
    <row r="128" spans="1:16" s="27" customFormat="1" ht="25.5" x14ac:dyDescent="0.25">
      <c r="A128" s="42">
        <f t="shared" si="10"/>
        <v>118</v>
      </c>
      <c r="B128" s="15"/>
      <c r="C128" s="314" t="s">
        <v>13</v>
      </c>
      <c r="D128" s="315" t="s">
        <v>25</v>
      </c>
      <c r="E128" s="316" t="s">
        <v>14</v>
      </c>
      <c r="F128" s="317">
        <v>0.1</v>
      </c>
      <c r="G128" s="318">
        <f>G125*0.2*F128</f>
        <v>15.19</v>
      </c>
      <c r="H128" s="3"/>
      <c r="I128" s="24"/>
      <c r="J128" s="25">
        <f>H128</f>
        <v>0</v>
      </c>
      <c r="K128" s="25">
        <f>G128*H128</f>
        <v>0</v>
      </c>
      <c r="L128" s="25"/>
      <c r="M128" s="26">
        <f>K128</f>
        <v>0</v>
      </c>
      <c r="O128" s="357"/>
    </row>
    <row r="129" spans="1:16" s="27" customFormat="1" ht="25.5" x14ac:dyDescent="0.25">
      <c r="A129" s="42">
        <f t="shared" si="10"/>
        <v>119</v>
      </c>
      <c r="B129" s="15"/>
      <c r="C129" s="314" t="s">
        <v>23</v>
      </c>
      <c r="D129" s="330" t="s">
        <v>25</v>
      </c>
      <c r="E129" s="328" t="s">
        <v>10</v>
      </c>
      <c r="F129" s="329">
        <v>1.7</v>
      </c>
      <c r="G129" s="318">
        <f>G125*0.2*F129</f>
        <v>258.18</v>
      </c>
      <c r="H129" s="3"/>
      <c r="I129" s="24"/>
      <c r="J129" s="25">
        <f>H129</f>
        <v>0</v>
      </c>
      <c r="K129" s="25">
        <f>G129*H129</f>
        <v>0</v>
      </c>
      <c r="L129" s="25"/>
      <c r="M129" s="26">
        <f>K129</f>
        <v>0</v>
      </c>
      <c r="N129" s="68"/>
      <c r="O129" s="356"/>
      <c r="P129" s="68"/>
    </row>
    <row r="130" spans="1:16" s="68" customFormat="1" ht="25.5" x14ac:dyDescent="0.25">
      <c r="A130" s="42">
        <f t="shared" si="10"/>
        <v>120</v>
      </c>
      <c r="B130" s="15"/>
      <c r="C130" s="314" t="s">
        <v>104</v>
      </c>
      <c r="D130" s="315" t="s">
        <v>25</v>
      </c>
      <c r="E130" s="316" t="s">
        <v>14</v>
      </c>
      <c r="F130" s="317">
        <v>0.3</v>
      </c>
      <c r="G130" s="318">
        <f>63.28*0.2*12*F130</f>
        <v>45.56</v>
      </c>
      <c r="H130" s="3"/>
      <c r="I130" s="69"/>
      <c r="J130" s="25">
        <f>H130</f>
        <v>0</v>
      </c>
      <c r="K130" s="25">
        <f>G130*H130</f>
        <v>0</v>
      </c>
      <c r="L130" s="25"/>
      <c r="M130" s="26">
        <f>K130</f>
        <v>0</v>
      </c>
      <c r="N130" s="71"/>
      <c r="O130" s="390"/>
      <c r="P130" s="71"/>
    </row>
    <row r="131" spans="1:16" s="44" customFormat="1" ht="25.5" customHeight="1" x14ac:dyDescent="0.25">
      <c r="A131" s="305">
        <f>ROW()-10</f>
        <v>121</v>
      </c>
      <c r="B131" s="306" t="s">
        <v>113</v>
      </c>
      <c r="C131" s="307" t="s">
        <v>112</v>
      </c>
      <c r="D131" s="36"/>
      <c r="E131" s="308"/>
      <c r="F131" s="309"/>
      <c r="G131" s="310"/>
      <c r="H131" s="39"/>
      <c r="I131" s="37"/>
      <c r="J131" s="28"/>
      <c r="K131" s="28"/>
      <c r="L131" s="28"/>
      <c r="M131" s="40"/>
      <c r="N131" s="27"/>
      <c r="O131" s="357"/>
      <c r="P131" s="27"/>
    </row>
    <row r="132" spans="1:16" s="27" customFormat="1" ht="12.75" x14ac:dyDescent="0.25">
      <c r="A132" s="43">
        <f t="shared" ref="A132:A143" si="11">ROW()-10</f>
        <v>122</v>
      </c>
      <c r="B132" s="14" t="s">
        <v>113</v>
      </c>
      <c r="C132" s="8" t="s">
        <v>16</v>
      </c>
      <c r="D132" s="5" t="s">
        <v>22</v>
      </c>
      <c r="E132" s="6" t="s">
        <v>8</v>
      </c>
      <c r="F132" s="7">
        <v>1</v>
      </c>
      <c r="G132" s="18">
        <f>36*12</f>
        <v>432</v>
      </c>
      <c r="H132" s="2"/>
      <c r="I132" s="4"/>
      <c r="J132" s="21">
        <f>I132</f>
        <v>0</v>
      </c>
      <c r="K132" s="21"/>
      <c r="L132" s="21">
        <f>G132*I132</f>
        <v>0</v>
      </c>
      <c r="M132" s="22">
        <f>L132</f>
        <v>0</v>
      </c>
      <c r="O132" s="357"/>
    </row>
    <row r="133" spans="1:16" s="27" customFormat="1" ht="25.5" x14ac:dyDescent="0.25">
      <c r="A133" s="41">
        <f t="shared" si="11"/>
        <v>123</v>
      </c>
      <c r="B133" s="38" t="s">
        <v>59</v>
      </c>
      <c r="C133" s="314" t="s">
        <v>58</v>
      </c>
      <c r="D133" s="315" t="s">
        <v>25</v>
      </c>
      <c r="E133" s="316" t="s">
        <v>8</v>
      </c>
      <c r="F133" s="317">
        <v>1.07</v>
      </c>
      <c r="G133" s="9">
        <f>G132*F133</f>
        <v>462.24</v>
      </c>
      <c r="H133" s="3"/>
      <c r="I133" s="24"/>
      <c r="J133" s="25">
        <f>H133</f>
        <v>0</v>
      </c>
      <c r="K133" s="25">
        <f>G133*H133</f>
        <v>0</v>
      </c>
      <c r="L133" s="25"/>
      <c r="M133" s="26">
        <f>K133</f>
        <v>0</v>
      </c>
      <c r="O133" s="357"/>
    </row>
    <row r="134" spans="1:16" s="27" customFormat="1" ht="25.5" x14ac:dyDescent="0.25">
      <c r="A134" s="42">
        <f t="shared" si="11"/>
        <v>124</v>
      </c>
      <c r="B134" s="15"/>
      <c r="C134" s="314" t="s">
        <v>9</v>
      </c>
      <c r="D134" s="315" t="s">
        <v>25</v>
      </c>
      <c r="E134" s="316" t="s">
        <v>10</v>
      </c>
      <c r="F134" s="317">
        <v>12</v>
      </c>
      <c r="G134" s="9">
        <f>G132*F134</f>
        <v>5184</v>
      </c>
      <c r="H134" s="3"/>
      <c r="I134" s="24"/>
      <c r="J134" s="25">
        <f>H134</f>
        <v>0</v>
      </c>
      <c r="K134" s="25">
        <f>G134*H134</f>
        <v>0</v>
      </c>
      <c r="L134" s="25"/>
      <c r="M134" s="26">
        <f>K134</f>
        <v>0</v>
      </c>
      <c r="O134" s="357"/>
    </row>
    <row r="135" spans="1:16" s="27" customFormat="1" ht="25.5" x14ac:dyDescent="0.25">
      <c r="A135" s="42">
        <f t="shared" si="11"/>
        <v>125</v>
      </c>
      <c r="B135" s="15"/>
      <c r="C135" s="314" t="s">
        <v>11</v>
      </c>
      <c r="D135" s="315" t="s">
        <v>25</v>
      </c>
      <c r="E135" s="316" t="s">
        <v>10</v>
      </c>
      <c r="F135" s="317">
        <v>0.25</v>
      </c>
      <c r="G135" s="9">
        <f>G132*F135</f>
        <v>108</v>
      </c>
      <c r="H135" s="3"/>
      <c r="I135" s="24"/>
      <c r="J135" s="25">
        <f>H135</f>
        <v>0</v>
      </c>
      <c r="K135" s="25">
        <f>G135*H135</f>
        <v>0</v>
      </c>
      <c r="L135" s="25"/>
      <c r="M135" s="26">
        <f>K135</f>
        <v>0</v>
      </c>
      <c r="O135" s="357"/>
    </row>
    <row r="136" spans="1:16" s="27" customFormat="1" ht="12.75" x14ac:dyDescent="0.25">
      <c r="A136" s="43">
        <f t="shared" ref="A136:A146" si="12">ROW()-10</f>
        <v>126</v>
      </c>
      <c r="B136" s="14" t="s">
        <v>113</v>
      </c>
      <c r="C136" s="8" t="s">
        <v>62</v>
      </c>
      <c r="D136" s="5" t="s">
        <v>22</v>
      </c>
      <c r="E136" s="6" t="s">
        <v>8</v>
      </c>
      <c r="F136" s="7">
        <v>1</v>
      </c>
      <c r="G136" s="18">
        <f>7.8*12</f>
        <v>93.6</v>
      </c>
      <c r="H136" s="2"/>
      <c r="I136" s="4"/>
      <c r="J136" s="21">
        <f>I136</f>
        <v>0</v>
      </c>
      <c r="K136" s="21"/>
      <c r="L136" s="21">
        <f>G136*I136</f>
        <v>0</v>
      </c>
      <c r="M136" s="22">
        <f>L136</f>
        <v>0</v>
      </c>
      <c r="O136" s="357"/>
    </row>
    <row r="137" spans="1:16" s="27" customFormat="1" ht="25.5" x14ac:dyDescent="0.25">
      <c r="A137" s="41">
        <f t="shared" si="12"/>
        <v>127</v>
      </c>
      <c r="B137" s="38" t="s">
        <v>64</v>
      </c>
      <c r="C137" s="314" t="s">
        <v>67</v>
      </c>
      <c r="D137" s="315" t="s">
        <v>25</v>
      </c>
      <c r="E137" s="316" t="s">
        <v>8</v>
      </c>
      <c r="F137" s="317">
        <v>1.07</v>
      </c>
      <c r="G137" s="9">
        <f>G136*F137</f>
        <v>100.15</v>
      </c>
      <c r="H137" s="3"/>
      <c r="I137" s="24"/>
      <c r="J137" s="25">
        <f>H137</f>
        <v>0</v>
      </c>
      <c r="K137" s="25">
        <f>G137*H137</f>
        <v>0</v>
      </c>
      <c r="L137" s="25"/>
      <c r="M137" s="26">
        <f>K137</f>
        <v>0</v>
      </c>
      <c r="O137" s="357"/>
    </row>
    <row r="138" spans="1:16" s="27" customFormat="1" ht="25.5" x14ac:dyDescent="0.25">
      <c r="A138" s="42">
        <f t="shared" si="12"/>
        <v>128</v>
      </c>
      <c r="B138" s="15"/>
      <c r="C138" s="314" t="s">
        <v>9</v>
      </c>
      <c r="D138" s="315" t="s">
        <v>25</v>
      </c>
      <c r="E138" s="316" t="s">
        <v>10</v>
      </c>
      <c r="F138" s="317">
        <v>12</v>
      </c>
      <c r="G138" s="9">
        <f>G136*F138</f>
        <v>1123.2</v>
      </c>
      <c r="H138" s="3"/>
      <c r="I138" s="24"/>
      <c r="J138" s="25">
        <f>H138</f>
        <v>0</v>
      </c>
      <c r="K138" s="25">
        <f>G138*H138</f>
        <v>0</v>
      </c>
      <c r="L138" s="25"/>
      <c r="M138" s="26">
        <f>K138</f>
        <v>0</v>
      </c>
      <c r="O138" s="357"/>
    </row>
    <row r="139" spans="1:16" s="27" customFormat="1" ht="25.5" x14ac:dyDescent="0.25">
      <c r="A139" s="42">
        <f t="shared" si="12"/>
        <v>129</v>
      </c>
      <c r="B139" s="15"/>
      <c r="C139" s="314" t="s">
        <v>11</v>
      </c>
      <c r="D139" s="315" t="s">
        <v>25</v>
      </c>
      <c r="E139" s="316" t="s">
        <v>10</v>
      </c>
      <c r="F139" s="317">
        <v>0.25</v>
      </c>
      <c r="G139" s="9">
        <f>G136*F139</f>
        <v>23.4</v>
      </c>
      <c r="H139" s="3"/>
      <c r="I139" s="24"/>
      <c r="J139" s="25">
        <f>H139</f>
        <v>0</v>
      </c>
      <c r="K139" s="25">
        <f>G139*H139</f>
        <v>0</v>
      </c>
      <c r="L139" s="25"/>
      <c r="M139" s="26">
        <f>K139</f>
        <v>0</v>
      </c>
      <c r="O139" s="357"/>
    </row>
    <row r="140" spans="1:16" s="27" customFormat="1" ht="25.5" x14ac:dyDescent="0.25">
      <c r="A140" s="43">
        <f t="shared" si="11"/>
        <v>130</v>
      </c>
      <c r="B140" s="14" t="s">
        <v>113</v>
      </c>
      <c r="C140" s="8" t="s">
        <v>17</v>
      </c>
      <c r="D140" s="5" t="s">
        <v>22</v>
      </c>
      <c r="E140" s="6" t="s">
        <v>12</v>
      </c>
      <c r="F140" s="7">
        <v>1</v>
      </c>
      <c r="G140" s="18">
        <f>30.2*12+9.9*12</f>
        <v>481.2</v>
      </c>
      <c r="H140" s="2"/>
      <c r="I140" s="4"/>
      <c r="J140" s="21">
        <f>I140</f>
        <v>0</v>
      </c>
      <c r="K140" s="21"/>
      <c r="L140" s="21">
        <f>G140*I140</f>
        <v>0</v>
      </c>
      <c r="M140" s="22">
        <f>L140</f>
        <v>0</v>
      </c>
      <c r="O140" s="357"/>
    </row>
    <row r="141" spans="1:16" s="27" customFormat="1" ht="25.5" x14ac:dyDescent="0.25">
      <c r="A141" s="42">
        <f t="shared" si="11"/>
        <v>131</v>
      </c>
      <c r="B141" s="15" t="s">
        <v>65</v>
      </c>
      <c r="C141" s="314" t="s">
        <v>66</v>
      </c>
      <c r="D141" s="315" t="s">
        <v>25</v>
      </c>
      <c r="E141" s="316" t="s">
        <v>8</v>
      </c>
      <c r="F141" s="317">
        <v>1.07</v>
      </c>
      <c r="G141" s="9">
        <f>G140*0.1*F141</f>
        <v>51.49</v>
      </c>
      <c r="H141" s="3"/>
      <c r="I141" s="24"/>
      <c r="J141" s="25">
        <f>H141</f>
        <v>0</v>
      </c>
      <c r="K141" s="25">
        <f>G141*H141</f>
        <v>0</v>
      </c>
      <c r="L141" s="25"/>
      <c r="M141" s="26">
        <f>K141</f>
        <v>0</v>
      </c>
      <c r="O141" s="357"/>
    </row>
    <row r="142" spans="1:16" s="27" customFormat="1" ht="25.5" x14ac:dyDescent="0.25">
      <c r="A142" s="42">
        <f t="shared" si="11"/>
        <v>132</v>
      </c>
      <c r="B142" s="15"/>
      <c r="C142" s="314" t="s">
        <v>9</v>
      </c>
      <c r="D142" s="315" t="s">
        <v>25</v>
      </c>
      <c r="E142" s="316" t="s">
        <v>10</v>
      </c>
      <c r="F142" s="317">
        <v>12</v>
      </c>
      <c r="G142" s="9">
        <f>G140*0.1*F142</f>
        <v>577.44000000000005</v>
      </c>
      <c r="H142" s="3"/>
      <c r="I142" s="24"/>
      <c r="J142" s="25">
        <f>H142</f>
        <v>0</v>
      </c>
      <c r="K142" s="25">
        <f>G142*H142</f>
        <v>0</v>
      </c>
      <c r="L142" s="25"/>
      <c r="M142" s="26">
        <f>K142</f>
        <v>0</v>
      </c>
      <c r="O142" s="357"/>
    </row>
    <row r="143" spans="1:16" s="27" customFormat="1" ht="25.5" x14ac:dyDescent="0.25">
      <c r="A143" s="42">
        <f t="shared" si="11"/>
        <v>133</v>
      </c>
      <c r="B143" s="15"/>
      <c r="C143" s="314" t="s">
        <v>11</v>
      </c>
      <c r="D143" s="315" t="s">
        <v>25</v>
      </c>
      <c r="E143" s="316" t="s">
        <v>10</v>
      </c>
      <c r="F143" s="317">
        <v>0.25</v>
      </c>
      <c r="G143" s="9">
        <f>G140*0.1*F143</f>
        <v>12.03</v>
      </c>
      <c r="H143" s="3"/>
      <c r="I143" s="24"/>
      <c r="J143" s="25">
        <f>H143</f>
        <v>0</v>
      </c>
      <c r="K143" s="25">
        <f>G143*H143</f>
        <v>0</v>
      </c>
      <c r="L143" s="25"/>
      <c r="M143" s="26">
        <f>K143</f>
        <v>0</v>
      </c>
      <c r="O143" s="357"/>
    </row>
    <row r="144" spans="1:16" s="27" customFormat="1" ht="12.75" x14ac:dyDescent="0.25">
      <c r="A144" s="43">
        <f t="shared" si="12"/>
        <v>134</v>
      </c>
      <c r="B144" s="14" t="s">
        <v>113</v>
      </c>
      <c r="C144" s="8" t="s">
        <v>76</v>
      </c>
      <c r="D144" s="5" t="s">
        <v>22</v>
      </c>
      <c r="E144" s="6" t="s">
        <v>12</v>
      </c>
      <c r="F144" s="7">
        <v>1</v>
      </c>
      <c r="G144" s="18">
        <f>5.9*12</f>
        <v>70.8</v>
      </c>
      <c r="H144" s="2"/>
      <c r="I144" s="4"/>
      <c r="J144" s="21">
        <f>I144</f>
        <v>0</v>
      </c>
      <c r="K144" s="21"/>
      <c r="L144" s="21">
        <f>G144*I144</f>
        <v>0</v>
      </c>
      <c r="M144" s="22">
        <f>L144</f>
        <v>0</v>
      </c>
      <c r="O144" s="357"/>
    </row>
    <row r="145" spans="1:16" s="27" customFormat="1" ht="25.5" x14ac:dyDescent="0.25">
      <c r="A145" s="42">
        <f t="shared" si="12"/>
        <v>135</v>
      </c>
      <c r="B145" s="15"/>
      <c r="C145" s="314" t="s">
        <v>130</v>
      </c>
      <c r="D145" s="315" t="s">
        <v>25</v>
      </c>
      <c r="E145" s="316" t="s">
        <v>14</v>
      </c>
      <c r="F145" s="317">
        <v>0.3</v>
      </c>
      <c r="G145" s="9">
        <f>G144*0.1*F145</f>
        <v>2.12</v>
      </c>
      <c r="H145" s="3"/>
      <c r="I145" s="24"/>
      <c r="J145" s="25">
        <f>H145</f>
        <v>0</v>
      </c>
      <c r="K145" s="25">
        <f>G145*H145</f>
        <v>0</v>
      </c>
      <c r="L145" s="25"/>
      <c r="M145" s="26">
        <f>K145</f>
        <v>0</v>
      </c>
      <c r="O145" s="357"/>
    </row>
    <row r="146" spans="1:16" s="27" customFormat="1" ht="25.5" x14ac:dyDescent="0.25">
      <c r="A146" s="42">
        <f t="shared" si="12"/>
        <v>136</v>
      </c>
      <c r="B146" s="15"/>
      <c r="C146" s="314" t="s">
        <v>13</v>
      </c>
      <c r="D146" s="315" t="s">
        <v>25</v>
      </c>
      <c r="E146" s="316" t="s">
        <v>14</v>
      </c>
      <c r="F146" s="317">
        <v>0.1</v>
      </c>
      <c r="G146" s="9">
        <f>G144*0.1*F146</f>
        <v>0.71</v>
      </c>
      <c r="H146" s="3"/>
      <c r="I146" s="24"/>
      <c r="J146" s="25">
        <f>H146</f>
        <v>0</v>
      </c>
      <c r="K146" s="25">
        <f>G146*H146</f>
        <v>0</v>
      </c>
      <c r="L146" s="25"/>
      <c r="M146" s="26">
        <f>K146</f>
        <v>0</v>
      </c>
      <c r="N146" s="68"/>
      <c r="O146" s="356"/>
      <c r="P146" s="68"/>
    </row>
    <row r="147" spans="1:16" s="23" customFormat="1" ht="12.75" x14ac:dyDescent="0.25">
      <c r="A147" s="297">
        <f>ROW()-10</f>
        <v>137</v>
      </c>
      <c r="B147" s="298" t="s">
        <v>84</v>
      </c>
      <c r="C147" s="299" t="s">
        <v>129</v>
      </c>
      <c r="D147" s="48"/>
      <c r="E147" s="300"/>
      <c r="F147" s="301"/>
      <c r="G147" s="302"/>
      <c r="H147" s="49"/>
      <c r="I147" s="50"/>
      <c r="J147" s="51"/>
      <c r="K147" s="51"/>
      <c r="L147" s="51"/>
      <c r="M147" s="52"/>
      <c r="N147" s="44"/>
      <c r="O147" s="355"/>
      <c r="P147" s="44"/>
    </row>
    <row r="148" spans="1:16" s="44" customFormat="1" ht="25.5" customHeight="1" x14ac:dyDescent="0.25">
      <c r="A148" s="305">
        <f>ROW()-10</f>
        <v>138</v>
      </c>
      <c r="B148" s="306" t="s">
        <v>87</v>
      </c>
      <c r="C148" s="307" t="s">
        <v>88</v>
      </c>
      <c r="D148" s="36"/>
      <c r="E148" s="308"/>
      <c r="F148" s="309"/>
      <c r="G148" s="310"/>
      <c r="H148" s="39"/>
      <c r="I148" s="37"/>
      <c r="J148" s="28"/>
      <c r="K148" s="28"/>
      <c r="L148" s="28"/>
      <c r="M148" s="40"/>
      <c r="N148" s="23"/>
      <c r="O148" s="354"/>
      <c r="P148" s="23"/>
    </row>
    <row r="149" spans="1:16" s="23" customFormat="1" ht="12.75" x14ac:dyDescent="0.25">
      <c r="A149" s="319">
        <f t="shared" ref="A149:A158" si="13">ROW()-10</f>
        <v>139</v>
      </c>
      <c r="B149" s="320" t="s">
        <v>96</v>
      </c>
      <c r="C149" s="321" t="s">
        <v>97</v>
      </c>
      <c r="D149" s="322" t="s">
        <v>22</v>
      </c>
      <c r="E149" s="323" t="s">
        <v>8</v>
      </c>
      <c r="F149" s="143">
        <v>1</v>
      </c>
      <c r="G149" s="313">
        <v>34.5</v>
      </c>
      <c r="H149" s="2"/>
      <c r="I149" s="4"/>
      <c r="J149" s="21">
        <f>I149</f>
        <v>0</v>
      </c>
      <c r="K149" s="21"/>
      <c r="L149" s="21">
        <f>G149*I149</f>
        <v>0</v>
      </c>
      <c r="M149" s="22">
        <f>L149</f>
        <v>0</v>
      </c>
      <c r="O149" s="354"/>
    </row>
    <row r="150" spans="1:16" s="68" customFormat="1" ht="25.5" x14ac:dyDescent="0.25">
      <c r="A150" s="324">
        <f t="shared" si="13"/>
        <v>140</v>
      </c>
      <c r="B150" s="325"/>
      <c r="C150" s="314" t="s">
        <v>120</v>
      </c>
      <c r="D150" s="315" t="s">
        <v>25</v>
      </c>
      <c r="E150" s="316" t="s">
        <v>12</v>
      </c>
      <c r="F150" s="317">
        <v>1.1000000000000001</v>
      </c>
      <c r="G150" s="318">
        <f>G149*11*F150</f>
        <v>417.45</v>
      </c>
      <c r="H150" s="3"/>
      <c r="I150" s="24"/>
      <c r="J150" s="25">
        <f>H150</f>
        <v>0</v>
      </c>
      <c r="K150" s="25">
        <f>G150*H150</f>
        <v>0</v>
      </c>
      <c r="L150" s="25"/>
      <c r="M150" s="26">
        <f>K150</f>
        <v>0</v>
      </c>
      <c r="O150" s="356"/>
    </row>
    <row r="151" spans="1:16" s="23" customFormat="1" ht="12.75" x14ac:dyDescent="0.25">
      <c r="A151" s="43">
        <f t="shared" si="13"/>
        <v>141</v>
      </c>
      <c r="B151" s="14" t="s">
        <v>99</v>
      </c>
      <c r="C151" s="55" t="s">
        <v>100</v>
      </c>
      <c r="D151" s="5" t="s">
        <v>22</v>
      </c>
      <c r="E151" s="6" t="s">
        <v>8</v>
      </c>
      <c r="F151" s="7">
        <v>1</v>
      </c>
      <c r="G151" s="313">
        <v>15.2</v>
      </c>
      <c r="H151" s="2"/>
      <c r="I151" s="4"/>
      <c r="J151" s="21">
        <f>I151</f>
        <v>0</v>
      </c>
      <c r="K151" s="21"/>
      <c r="L151" s="21">
        <f>G151*I151</f>
        <v>0</v>
      </c>
      <c r="M151" s="22">
        <f>L151</f>
        <v>0</v>
      </c>
      <c r="O151" s="354"/>
    </row>
    <row r="152" spans="1:16" s="68" customFormat="1" ht="25.5" x14ac:dyDescent="0.25">
      <c r="A152" s="42">
        <f t="shared" si="13"/>
        <v>142</v>
      </c>
      <c r="B152" s="15"/>
      <c r="C152" s="326" t="s">
        <v>13</v>
      </c>
      <c r="D152" s="315" t="s">
        <v>25</v>
      </c>
      <c r="E152" s="316" t="s">
        <v>14</v>
      </c>
      <c r="F152" s="317">
        <v>0.1</v>
      </c>
      <c r="G152" s="318">
        <f>G151*F152</f>
        <v>1.52</v>
      </c>
      <c r="H152" s="3"/>
      <c r="I152" s="24"/>
      <c r="J152" s="25">
        <f>H152</f>
        <v>0</v>
      </c>
      <c r="K152" s="25">
        <f>G152*H152</f>
        <v>0</v>
      </c>
      <c r="L152" s="25"/>
      <c r="M152" s="26">
        <f>K152</f>
        <v>0</v>
      </c>
      <c r="O152" s="356"/>
    </row>
    <row r="153" spans="1:16" s="68" customFormat="1" ht="25.5" x14ac:dyDescent="0.25">
      <c r="A153" s="42">
        <f t="shared" si="13"/>
        <v>143</v>
      </c>
      <c r="B153" s="15"/>
      <c r="C153" s="326" t="s">
        <v>101</v>
      </c>
      <c r="D153" s="315" t="s">
        <v>25</v>
      </c>
      <c r="E153" s="316" t="s">
        <v>10</v>
      </c>
      <c r="F153" s="317">
        <v>1.2</v>
      </c>
      <c r="G153" s="318">
        <f>G151*F153</f>
        <v>18.239999999999998</v>
      </c>
      <c r="H153" s="3"/>
      <c r="I153" s="24"/>
      <c r="J153" s="25">
        <f>H153</f>
        <v>0</v>
      </c>
      <c r="K153" s="25">
        <f>G153*H153</f>
        <v>0</v>
      </c>
      <c r="L153" s="25"/>
      <c r="M153" s="26">
        <f>K153</f>
        <v>0</v>
      </c>
      <c r="O153" s="356"/>
    </row>
    <row r="154" spans="1:16" s="68" customFormat="1" ht="25.5" x14ac:dyDescent="0.25">
      <c r="A154" s="42">
        <f t="shared" si="13"/>
        <v>144</v>
      </c>
      <c r="B154" s="15"/>
      <c r="C154" s="314" t="s">
        <v>23</v>
      </c>
      <c r="D154" s="315" t="s">
        <v>25</v>
      </c>
      <c r="E154" s="316" t="s">
        <v>10</v>
      </c>
      <c r="F154" s="317">
        <v>1.7</v>
      </c>
      <c r="G154" s="318">
        <f>G151*F154</f>
        <v>25.84</v>
      </c>
      <c r="H154" s="3"/>
      <c r="I154" s="24"/>
      <c r="J154" s="25">
        <f>H154</f>
        <v>0</v>
      </c>
      <c r="K154" s="25">
        <f>G154*H154</f>
        <v>0</v>
      </c>
      <c r="L154" s="25"/>
      <c r="M154" s="26">
        <f>K154</f>
        <v>0</v>
      </c>
      <c r="O154" s="356"/>
    </row>
    <row r="155" spans="1:16" s="23" customFormat="1" ht="38.25" x14ac:dyDescent="0.25">
      <c r="A155" s="43">
        <f t="shared" si="13"/>
        <v>145</v>
      </c>
      <c r="B155" s="14" t="s">
        <v>102</v>
      </c>
      <c r="C155" s="8" t="s">
        <v>103</v>
      </c>
      <c r="D155" s="5" t="s">
        <v>22</v>
      </c>
      <c r="E155" s="6" t="s">
        <v>8</v>
      </c>
      <c r="F155" s="7">
        <v>1</v>
      </c>
      <c r="G155" s="313">
        <f>G149+G151</f>
        <v>49.7</v>
      </c>
      <c r="H155" s="2"/>
      <c r="I155" s="4"/>
      <c r="J155" s="21">
        <f>I155</f>
        <v>0</v>
      </c>
      <c r="K155" s="21"/>
      <c r="L155" s="21">
        <f>G155*I155</f>
        <v>0</v>
      </c>
      <c r="M155" s="22">
        <f>L155</f>
        <v>0</v>
      </c>
      <c r="O155" s="354"/>
    </row>
    <row r="156" spans="1:16" s="68" customFormat="1" ht="25.5" x14ac:dyDescent="0.25">
      <c r="A156" s="42">
        <f t="shared" si="13"/>
        <v>146</v>
      </c>
      <c r="B156" s="15"/>
      <c r="C156" s="314" t="s">
        <v>13</v>
      </c>
      <c r="D156" s="315" t="s">
        <v>25</v>
      </c>
      <c r="E156" s="316" t="s">
        <v>14</v>
      </c>
      <c r="F156" s="317">
        <v>0.1</v>
      </c>
      <c r="G156" s="318">
        <f>G155*F156</f>
        <v>4.97</v>
      </c>
      <c r="H156" s="3"/>
      <c r="I156" s="24"/>
      <c r="J156" s="25">
        <f>H156</f>
        <v>0</v>
      </c>
      <c r="K156" s="25">
        <f>G156*H156</f>
        <v>0</v>
      </c>
      <c r="L156" s="25"/>
      <c r="M156" s="26">
        <f>K156</f>
        <v>0</v>
      </c>
      <c r="N156" s="70"/>
      <c r="O156" s="358"/>
      <c r="P156" s="70"/>
    </row>
    <row r="157" spans="1:16" s="70" customFormat="1" ht="25.5" x14ac:dyDescent="0.25">
      <c r="A157" s="42">
        <f t="shared" si="13"/>
        <v>147</v>
      </c>
      <c r="B157" s="38"/>
      <c r="C157" s="314" t="s">
        <v>118</v>
      </c>
      <c r="D157" s="315" t="s">
        <v>25</v>
      </c>
      <c r="E157" s="316" t="s">
        <v>14</v>
      </c>
      <c r="F157" s="317">
        <v>0.3</v>
      </c>
      <c r="G157" s="318">
        <f>15.2*F157</f>
        <v>4.5599999999999996</v>
      </c>
      <c r="H157" s="3"/>
      <c r="I157" s="24"/>
      <c r="J157" s="25">
        <f>H157</f>
        <v>0</v>
      </c>
      <c r="K157" s="25">
        <f>G157*H157</f>
        <v>0</v>
      </c>
      <c r="L157" s="25"/>
      <c r="M157" s="26">
        <f>K157</f>
        <v>0</v>
      </c>
      <c r="O157" s="358"/>
    </row>
    <row r="158" spans="1:16" s="70" customFormat="1" ht="51" x14ac:dyDescent="0.25">
      <c r="A158" s="42">
        <f t="shared" si="13"/>
        <v>148</v>
      </c>
      <c r="B158" s="38" t="s">
        <v>121</v>
      </c>
      <c r="C158" s="314" t="s">
        <v>106</v>
      </c>
      <c r="D158" s="315" t="s">
        <v>25</v>
      </c>
      <c r="E158" s="316" t="s">
        <v>14</v>
      </c>
      <c r="F158" s="317">
        <v>0.3</v>
      </c>
      <c r="G158" s="318">
        <f>(34.5+54.37*0.2)*F158</f>
        <v>13.61</v>
      </c>
      <c r="H158" s="3"/>
      <c r="I158" s="24"/>
      <c r="J158" s="25">
        <f>H158</f>
        <v>0</v>
      </c>
      <c r="K158" s="25">
        <f>G158*H158</f>
        <v>0</v>
      </c>
      <c r="L158" s="25"/>
      <c r="M158" s="26">
        <f>K158</f>
        <v>0</v>
      </c>
      <c r="N158" s="71"/>
      <c r="O158" s="390"/>
      <c r="P158" s="71"/>
    </row>
    <row r="159" spans="1:16" s="44" customFormat="1" ht="25.5" customHeight="1" x14ac:dyDescent="0.25">
      <c r="A159" s="256">
        <f>ROW()-10</f>
        <v>149</v>
      </c>
      <c r="B159" s="306" t="s">
        <v>110</v>
      </c>
      <c r="C159" s="307" t="s">
        <v>109</v>
      </c>
      <c r="D159" s="36"/>
      <c r="E159" s="308"/>
      <c r="F159" s="309"/>
      <c r="G159" s="310"/>
      <c r="H159" s="39"/>
      <c r="I159" s="37"/>
      <c r="J159" s="28"/>
      <c r="K159" s="28"/>
      <c r="L159" s="28"/>
      <c r="M159" s="40"/>
      <c r="N159" s="27"/>
      <c r="O159" s="357"/>
      <c r="P159" s="27"/>
    </row>
    <row r="160" spans="1:16" s="27" customFormat="1" ht="12.75" x14ac:dyDescent="0.25">
      <c r="A160" s="43">
        <f t="shared" ref="A160:A179" si="14">ROW()-10</f>
        <v>150</v>
      </c>
      <c r="B160" s="14" t="s">
        <v>110</v>
      </c>
      <c r="C160" s="55" t="s">
        <v>21</v>
      </c>
      <c r="D160" s="5" t="s">
        <v>22</v>
      </c>
      <c r="E160" s="6" t="s">
        <v>8</v>
      </c>
      <c r="F160" s="7">
        <v>1</v>
      </c>
      <c r="G160" s="18">
        <f>157.47</f>
        <v>157.47</v>
      </c>
      <c r="H160" s="2"/>
      <c r="I160" s="4"/>
      <c r="J160" s="21">
        <f>I160</f>
        <v>0</v>
      </c>
      <c r="K160" s="21"/>
      <c r="L160" s="21">
        <f>G160*I160</f>
        <v>0</v>
      </c>
      <c r="M160" s="22">
        <f>L160</f>
        <v>0</v>
      </c>
      <c r="O160" s="357"/>
    </row>
    <row r="161" spans="1:16" s="27" customFormat="1" ht="25.5" x14ac:dyDescent="0.25">
      <c r="A161" s="42">
        <f t="shared" si="14"/>
        <v>151</v>
      </c>
      <c r="B161" s="15"/>
      <c r="C161" s="326" t="s">
        <v>13</v>
      </c>
      <c r="D161" s="315" t="s">
        <v>25</v>
      </c>
      <c r="E161" s="316" t="s">
        <v>14</v>
      </c>
      <c r="F161" s="317">
        <v>0.1</v>
      </c>
      <c r="G161" s="9">
        <f>G160*F161</f>
        <v>15.75</v>
      </c>
      <c r="H161" s="3"/>
      <c r="I161" s="24"/>
      <c r="J161" s="25">
        <f>H161</f>
        <v>0</v>
      </c>
      <c r="K161" s="25">
        <f>G161*H161</f>
        <v>0</v>
      </c>
      <c r="L161" s="25"/>
      <c r="M161" s="26">
        <f>K161</f>
        <v>0</v>
      </c>
      <c r="O161" s="357"/>
    </row>
    <row r="162" spans="1:16" s="27" customFormat="1" ht="25.5" x14ac:dyDescent="0.25">
      <c r="A162" s="42">
        <f t="shared" si="14"/>
        <v>152</v>
      </c>
      <c r="B162" s="15"/>
      <c r="C162" s="326" t="s">
        <v>52</v>
      </c>
      <c r="D162" s="315" t="s">
        <v>25</v>
      </c>
      <c r="E162" s="316" t="s">
        <v>10</v>
      </c>
      <c r="F162" s="317">
        <v>1.2</v>
      </c>
      <c r="G162" s="9">
        <f>G160*F162</f>
        <v>188.96</v>
      </c>
      <c r="H162" s="3"/>
      <c r="I162" s="53"/>
      <c r="J162" s="25">
        <f>H162</f>
        <v>0</v>
      </c>
      <c r="K162" s="25">
        <f>G162*H162</f>
        <v>0</v>
      </c>
      <c r="L162" s="25"/>
      <c r="M162" s="26">
        <f>K162</f>
        <v>0</v>
      </c>
      <c r="O162" s="357"/>
    </row>
    <row r="163" spans="1:16" s="27" customFormat="1" ht="25.5" x14ac:dyDescent="0.25">
      <c r="A163" s="42">
        <f t="shared" si="14"/>
        <v>153</v>
      </c>
      <c r="B163" s="15"/>
      <c r="C163" s="314" t="s">
        <v>23</v>
      </c>
      <c r="D163" s="315" t="s">
        <v>25</v>
      </c>
      <c r="E163" s="316" t="s">
        <v>10</v>
      </c>
      <c r="F163" s="317">
        <v>1.7</v>
      </c>
      <c r="G163" s="9">
        <f>G160*F163</f>
        <v>267.7</v>
      </c>
      <c r="H163" s="3"/>
      <c r="I163" s="24"/>
      <c r="J163" s="25">
        <f>H163</f>
        <v>0</v>
      </c>
      <c r="K163" s="25">
        <f>G163*H163</f>
        <v>0</v>
      </c>
      <c r="L163" s="25"/>
      <c r="M163" s="26">
        <f>K163</f>
        <v>0</v>
      </c>
      <c r="O163" s="357"/>
    </row>
    <row r="164" spans="1:16" s="27" customFormat="1" ht="45" customHeight="1" x14ac:dyDescent="0.25">
      <c r="A164" s="43">
        <f t="shared" si="14"/>
        <v>154</v>
      </c>
      <c r="B164" s="14" t="s">
        <v>110</v>
      </c>
      <c r="C164" s="54" t="s">
        <v>18</v>
      </c>
      <c r="D164" s="5" t="s">
        <v>22</v>
      </c>
      <c r="E164" s="6" t="s">
        <v>8</v>
      </c>
      <c r="F164" s="7">
        <v>1</v>
      </c>
      <c r="G164" s="18">
        <f>19.8</f>
        <v>19.8</v>
      </c>
      <c r="H164" s="2"/>
      <c r="I164" s="4"/>
      <c r="J164" s="21">
        <f>I164</f>
        <v>0</v>
      </c>
      <c r="K164" s="21"/>
      <c r="L164" s="21">
        <f>G164*I164</f>
        <v>0</v>
      </c>
      <c r="M164" s="22">
        <f>L164</f>
        <v>0</v>
      </c>
      <c r="N164" s="23"/>
      <c r="O164" s="354"/>
      <c r="P164" s="23"/>
    </row>
    <row r="165" spans="1:16" s="68" customFormat="1" ht="25.5" x14ac:dyDescent="0.25">
      <c r="A165" s="42">
        <f t="shared" si="14"/>
        <v>155</v>
      </c>
      <c r="B165" s="15"/>
      <c r="C165" s="314" t="s">
        <v>58</v>
      </c>
      <c r="D165" s="315" t="s">
        <v>25</v>
      </c>
      <c r="E165" s="316" t="s">
        <v>8</v>
      </c>
      <c r="F165" s="317">
        <v>1.07</v>
      </c>
      <c r="G165" s="318">
        <f>G164*F165</f>
        <v>21.19</v>
      </c>
      <c r="H165" s="3"/>
      <c r="I165" s="24"/>
      <c r="J165" s="25">
        <f>H165</f>
        <v>0</v>
      </c>
      <c r="K165" s="25">
        <f>G165*H165</f>
        <v>0</v>
      </c>
      <c r="L165" s="25"/>
      <c r="M165" s="26">
        <f>K165</f>
        <v>0</v>
      </c>
      <c r="O165" s="356"/>
    </row>
    <row r="166" spans="1:16" s="68" customFormat="1" ht="25.5" x14ac:dyDescent="0.25">
      <c r="A166" s="42">
        <f t="shared" si="14"/>
        <v>156</v>
      </c>
      <c r="B166" s="15"/>
      <c r="C166" s="314" t="s">
        <v>9</v>
      </c>
      <c r="D166" s="315" t="s">
        <v>25</v>
      </c>
      <c r="E166" s="316" t="s">
        <v>10</v>
      </c>
      <c r="F166" s="317">
        <v>12</v>
      </c>
      <c r="G166" s="318">
        <f>G164*0.3*F166</f>
        <v>71.28</v>
      </c>
      <c r="H166" s="3"/>
      <c r="I166" s="24"/>
      <c r="J166" s="25">
        <f>H166</f>
        <v>0</v>
      </c>
      <c r="K166" s="25">
        <f>G166*H166</f>
        <v>0</v>
      </c>
      <c r="L166" s="25"/>
      <c r="M166" s="26">
        <f>K166</f>
        <v>0</v>
      </c>
      <c r="O166" s="356"/>
    </row>
    <row r="167" spans="1:16" s="68" customFormat="1" ht="25.5" x14ac:dyDescent="0.25">
      <c r="A167" s="42">
        <f t="shared" si="14"/>
        <v>157</v>
      </c>
      <c r="B167" s="15"/>
      <c r="C167" s="314" t="s">
        <v>11</v>
      </c>
      <c r="D167" s="315" t="s">
        <v>25</v>
      </c>
      <c r="E167" s="316" t="s">
        <v>10</v>
      </c>
      <c r="F167" s="317">
        <v>0.25</v>
      </c>
      <c r="G167" s="318">
        <f>G164*0.3*F167</f>
        <v>1.49</v>
      </c>
      <c r="H167" s="3"/>
      <c r="I167" s="24"/>
      <c r="J167" s="25">
        <f>H167</f>
        <v>0</v>
      </c>
      <c r="K167" s="25">
        <f>G167*H167</f>
        <v>0</v>
      </c>
      <c r="L167" s="25"/>
      <c r="M167" s="26">
        <f>K167</f>
        <v>0</v>
      </c>
      <c r="O167" s="356"/>
    </row>
    <row r="168" spans="1:16" s="68" customFormat="1" ht="25.5" x14ac:dyDescent="0.25">
      <c r="A168" s="42">
        <f t="shared" si="14"/>
        <v>158</v>
      </c>
      <c r="B168" s="15"/>
      <c r="C168" s="314" t="s">
        <v>46</v>
      </c>
      <c r="D168" s="315" t="s">
        <v>25</v>
      </c>
      <c r="E168" s="316" t="s">
        <v>12</v>
      </c>
      <c r="F168" s="317">
        <v>1.1000000000000001</v>
      </c>
      <c r="G168" s="318">
        <f>9.57*F168</f>
        <v>10.53</v>
      </c>
      <c r="H168" s="3"/>
      <c r="I168" s="24"/>
      <c r="J168" s="25">
        <f>H168</f>
        <v>0</v>
      </c>
      <c r="K168" s="25">
        <f>G168*H168</f>
        <v>0</v>
      </c>
      <c r="L168" s="25"/>
      <c r="M168" s="26">
        <f>K168</f>
        <v>0</v>
      </c>
      <c r="N168" s="27"/>
      <c r="O168" s="357"/>
      <c r="P168" s="27"/>
    </row>
    <row r="169" spans="1:16" s="27" customFormat="1" ht="12.75" x14ac:dyDescent="0.25">
      <c r="A169" s="43">
        <f t="shared" si="14"/>
        <v>159</v>
      </c>
      <c r="B169" s="14" t="s">
        <v>110</v>
      </c>
      <c r="C169" s="8" t="s">
        <v>19</v>
      </c>
      <c r="D169" s="5" t="s">
        <v>22</v>
      </c>
      <c r="E169" s="6" t="s">
        <v>8</v>
      </c>
      <c r="F169" s="7">
        <v>1</v>
      </c>
      <c r="G169" s="18">
        <f>G160</f>
        <v>157.47</v>
      </c>
      <c r="H169" s="2"/>
      <c r="I169" s="4"/>
      <c r="J169" s="21">
        <f>I169</f>
        <v>0</v>
      </c>
      <c r="K169" s="21"/>
      <c r="L169" s="21">
        <f>G169*I169</f>
        <v>0</v>
      </c>
      <c r="M169" s="22">
        <f>L169</f>
        <v>0</v>
      </c>
      <c r="N169" s="23"/>
      <c r="O169" s="354"/>
      <c r="P169" s="23"/>
    </row>
    <row r="170" spans="1:16" s="68" customFormat="1" ht="25.5" x14ac:dyDescent="0.25">
      <c r="A170" s="42">
        <f t="shared" si="14"/>
        <v>160</v>
      </c>
      <c r="B170" s="15"/>
      <c r="C170" s="314" t="s">
        <v>13</v>
      </c>
      <c r="D170" s="315" t="s">
        <v>25</v>
      </c>
      <c r="E170" s="316" t="s">
        <v>14</v>
      </c>
      <c r="F170" s="317">
        <v>0.1</v>
      </c>
      <c r="G170" s="318">
        <f>G169*F170</f>
        <v>15.75</v>
      </c>
      <c r="H170" s="3"/>
      <c r="I170" s="24"/>
      <c r="J170" s="25">
        <f>H170</f>
        <v>0</v>
      </c>
      <c r="K170" s="25">
        <f>G170*H170</f>
        <v>0</v>
      </c>
      <c r="L170" s="25"/>
      <c r="M170" s="26">
        <f>K170</f>
        <v>0</v>
      </c>
      <c r="O170" s="356"/>
    </row>
    <row r="171" spans="1:16" s="68" customFormat="1" ht="25.5" x14ac:dyDescent="0.25">
      <c r="A171" s="42">
        <f t="shared" si="14"/>
        <v>161</v>
      </c>
      <c r="B171" s="15"/>
      <c r="C171" s="314" t="s">
        <v>104</v>
      </c>
      <c r="D171" s="315" t="s">
        <v>25</v>
      </c>
      <c r="E171" s="316" t="s">
        <v>14</v>
      </c>
      <c r="F171" s="317">
        <v>0.3</v>
      </c>
      <c r="G171" s="318">
        <f>141.38*F171</f>
        <v>42.41</v>
      </c>
      <c r="H171" s="3"/>
      <c r="I171" s="24"/>
      <c r="J171" s="25">
        <f>H171</f>
        <v>0</v>
      </c>
      <c r="K171" s="25">
        <f>G171*H171</f>
        <v>0</v>
      </c>
      <c r="L171" s="25"/>
      <c r="M171" s="26">
        <f>K171</f>
        <v>0</v>
      </c>
      <c r="O171" s="356"/>
    </row>
    <row r="172" spans="1:16" s="68" customFormat="1" ht="25.5" x14ac:dyDescent="0.25">
      <c r="A172" s="42">
        <f t="shared" si="14"/>
        <v>162</v>
      </c>
      <c r="B172" s="15"/>
      <c r="C172" s="314" t="s">
        <v>105</v>
      </c>
      <c r="D172" s="315" t="s">
        <v>25</v>
      </c>
      <c r="E172" s="316" t="s">
        <v>14</v>
      </c>
      <c r="F172" s="317">
        <v>0.3</v>
      </c>
      <c r="G172" s="318">
        <f>13.1*F172</f>
        <v>3.93</v>
      </c>
      <c r="H172" s="3"/>
      <c r="I172" s="24"/>
      <c r="J172" s="25">
        <f>H172</f>
        <v>0</v>
      </c>
      <c r="K172" s="25">
        <f>G172*H172</f>
        <v>0</v>
      </c>
      <c r="L172" s="25"/>
      <c r="M172" s="26">
        <f>K172</f>
        <v>0</v>
      </c>
      <c r="O172" s="356"/>
    </row>
    <row r="173" spans="1:16" s="68" customFormat="1" ht="25.5" x14ac:dyDescent="0.25">
      <c r="A173" s="42">
        <f t="shared" si="14"/>
        <v>163</v>
      </c>
      <c r="B173" s="15"/>
      <c r="C173" s="314" t="s">
        <v>106</v>
      </c>
      <c r="D173" s="315" t="s">
        <v>25</v>
      </c>
      <c r="E173" s="316" t="s">
        <v>14</v>
      </c>
      <c r="F173" s="317">
        <v>0.3</v>
      </c>
      <c r="G173" s="318">
        <f>2.99*F173</f>
        <v>0.9</v>
      </c>
      <c r="H173" s="3"/>
      <c r="I173" s="24"/>
      <c r="J173" s="25">
        <f>H173</f>
        <v>0</v>
      </c>
      <c r="K173" s="25">
        <f>G173*H173</f>
        <v>0</v>
      </c>
      <c r="L173" s="25"/>
      <c r="M173" s="26">
        <f>K173</f>
        <v>0</v>
      </c>
      <c r="N173" s="27"/>
      <c r="O173" s="357"/>
      <c r="P173" s="27"/>
    </row>
    <row r="174" spans="1:16" s="27" customFormat="1" ht="21.75" customHeight="1" x14ac:dyDescent="0.25">
      <c r="A174" s="43">
        <f t="shared" si="14"/>
        <v>164</v>
      </c>
      <c r="B174" s="14" t="s">
        <v>110</v>
      </c>
      <c r="C174" s="8" t="s">
        <v>20</v>
      </c>
      <c r="D174" s="5" t="s">
        <v>22</v>
      </c>
      <c r="E174" s="6" t="s">
        <v>24</v>
      </c>
      <c r="F174" s="7">
        <v>1</v>
      </c>
      <c r="G174" s="18">
        <f>63.28</f>
        <v>63.28</v>
      </c>
      <c r="H174" s="2"/>
      <c r="I174" s="4"/>
      <c r="J174" s="21">
        <f>I174</f>
        <v>0</v>
      </c>
      <c r="K174" s="21"/>
      <c r="L174" s="21">
        <f>G174*I174</f>
        <v>0</v>
      </c>
      <c r="M174" s="22">
        <f>L174</f>
        <v>0</v>
      </c>
      <c r="O174" s="357"/>
    </row>
    <row r="175" spans="1:16" s="27" customFormat="1" ht="25.5" customHeight="1" x14ac:dyDescent="0.25">
      <c r="A175" s="42">
        <f t="shared" si="14"/>
        <v>165</v>
      </c>
      <c r="B175" s="15"/>
      <c r="C175" s="314" t="s">
        <v>32</v>
      </c>
      <c r="D175" s="315" t="s">
        <v>25</v>
      </c>
      <c r="E175" s="328" t="s">
        <v>10</v>
      </c>
      <c r="F175" s="329">
        <v>0.05</v>
      </c>
      <c r="G175" s="318">
        <f>G174*0.2*F175</f>
        <v>0.63</v>
      </c>
      <c r="H175" s="3"/>
      <c r="I175" s="24"/>
      <c r="J175" s="25">
        <f>H175</f>
        <v>0</v>
      </c>
      <c r="K175" s="25">
        <f>G175*H175</f>
        <v>0</v>
      </c>
      <c r="L175" s="25"/>
      <c r="M175" s="26">
        <f>K175</f>
        <v>0</v>
      </c>
      <c r="O175" s="357"/>
    </row>
    <row r="176" spans="1:16" s="27" customFormat="1" ht="25.5" x14ac:dyDescent="0.25">
      <c r="A176" s="42">
        <f t="shared" si="14"/>
        <v>166</v>
      </c>
      <c r="B176" s="15"/>
      <c r="C176" s="314" t="s">
        <v>33</v>
      </c>
      <c r="D176" s="315" t="s">
        <v>25</v>
      </c>
      <c r="E176" s="328" t="s">
        <v>10</v>
      </c>
      <c r="F176" s="329">
        <v>10</v>
      </c>
      <c r="G176" s="318">
        <f>G174*0.2*F176</f>
        <v>126.56</v>
      </c>
      <c r="H176" s="3"/>
      <c r="I176" s="24"/>
      <c r="J176" s="25">
        <f>H176</f>
        <v>0</v>
      </c>
      <c r="K176" s="25">
        <f>G176*H176</f>
        <v>0</v>
      </c>
      <c r="L176" s="25"/>
      <c r="M176" s="26">
        <f>K176</f>
        <v>0</v>
      </c>
      <c r="O176" s="357"/>
    </row>
    <row r="177" spans="1:16" s="27" customFormat="1" ht="25.5" x14ac:dyDescent="0.25">
      <c r="A177" s="42">
        <f t="shared" si="14"/>
        <v>167</v>
      </c>
      <c r="B177" s="15"/>
      <c r="C177" s="314" t="s">
        <v>13</v>
      </c>
      <c r="D177" s="315" t="s">
        <v>25</v>
      </c>
      <c r="E177" s="316" t="s">
        <v>14</v>
      </c>
      <c r="F177" s="317">
        <v>0.1</v>
      </c>
      <c r="G177" s="318">
        <f>G174*0.2*F177</f>
        <v>1.27</v>
      </c>
      <c r="H177" s="3"/>
      <c r="I177" s="24"/>
      <c r="J177" s="25">
        <f>H177</f>
        <v>0</v>
      </c>
      <c r="K177" s="25">
        <f>G177*H177</f>
        <v>0</v>
      </c>
      <c r="L177" s="25"/>
      <c r="M177" s="26">
        <f>K177</f>
        <v>0</v>
      </c>
      <c r="O177" s="357"/>
    </row>
    <row r="178" spans="1:16" s="27" customFormat="1" ht="25.5" x14ac:dyDescent="0.25">
      <c r="A178" s="42">
        <f t="shared" si="14"/>
        <v>168</v>
      </c>
      <c r="B178" s="15"/>
      <c r="C178" s="314" t="s">
        <v>23</v>
      </c>
      <c r="D178" s="330" t="s">
        <v>25</v>
      </c>
      <c r="E178" s="328" t="s">
        <v>10</v>
      </c>
      <c r="F178" s="329">
        <v>1.7</v>
      </c>
      <c r="G178" s="318">
        <f>G174*0.2*F178</f>
        <v>21.52</v>
      </c>
      <c r="H178" s="3"/>
      <c r="I178" s="24"/>
      <c r="J178" s="25">
        <f>H178</f>
        <v>0</v>
      </c>
      <c r="K178" s="25">
        <f>G178*H178</f>
        <v>0</v>
      </c>
      <c r="L178" s="25"/>
      <c r="M178" s="26">
        <f>K178</f>
        <v>0</v>
      </c>
      <c r="N178" s="68"/>
      <c r="O178" s="356"/>
      <c r="P178" s="68"/>
    </row>
    <row r="179" spans="1:16" s="68" customFormat="1" ht="25.5" x14ac:dyDescent="0.25">
      <c r="A179" s="42">
        <f t="shared" si="14"/>
        <v>169</v>
      </c>
      <c r="B179" s="15"/>
      <c r="C179" s="314" t="s">
        <v>104</v>
      </c>
      <c r="D179" s="315" t="s">
        <v>25</v>
      </c>
      <c r="E179" s="316" t="s">
        <v>14</v>
      </c>
      <c r="F179" s="317">
        <v>0.3</v>
      </c>
      <c r="G179" s="318">
        <f>63.28*0.2*F179</f>
        <v>3.8</v>
      </c>
      <c r="H179" s="3"/>
      <c r="I179" s="69"/>
      <c r="J179" s="25">
        <f>H179</f>
        <v>0</v>
      </c>
      <c r="K179" s="25">
        <f>G179*H179</f>
        <v>0</v>
      </c>
      <c r="L179" s="25"/>
      <c r="M179" s="26">
        <f>K179</f>
        <v>0</v>
      </c>
      <c r="N179" s="71"/>
      <c r="O179" s="390"/>
      <c r="P179" s="71"/>
    </row>
    <row r="180" spans="1:16" s="44" customFormat="1" ht="25.5" customHeight="1" x14ac:dyDescent="0.25">
      <c r="A180" s="305">
        <f>ROW()-10</f>
        <v>170</v>
      </c>
      <c r="B180" s="306" t="s">
        <v>113</v>
      </c>
      <c r="C180" s="307" t="s">
        <v>112</v>
      </c>
      <c r="D180" s="36"/>
      <c r="E180" s="308"/>
      <c r="F180" s="309"/>
      <c r="G180" s="310"/>
      <c r="H180" s="39"/>
      <c r="I180" s="37"/>
      <c r="J180" s="28"/>
      <c r="K180" s="28"/>
      <c r="L180" s="28"/>
      <c r="M180" s="40"/>
      <c r="N180" s="27"/>
      <c r="O180" s="357"/>
      <c r="P180" s="27"/>
    </row>
    <row r="181" spans="1:16" s="27" customFormat="1" ht="12.75" x14ac:dyDescent="0.25">
      <c r="A181" s="43">
        <f t="shared" ref="A181:A192" si="15">ROW()-10</f>
        <v>171</v>
      </c>
      <c r="B181" s="14" t="s">
        <v>113</v>
      </c>
      <c r="C181" s="8" t="s">
        <v>16</v>
      </c>
      <c r="D181" s="5" t="s">
        <v>22</v>
      </c>
      <c r="E181" s="6" t="s">
        <v>8</v>
      </c>
      <c r="F181" s="7">
        <v>1</v>
      </c>
      <c r="G181" s="18">
        <v>36</v>
      </c>
      <c r="H181" s="2"/>
      <c r="I181" s="4"/>
      <c r="J181" s="21">
        <f>I181</f>
        <v>0</v>
      </c>
      <c r="K181" s="21"/>
      <c r="L181" s="21">
        <f>G181*I181</f>
        <v>0</v>
      </c>
      <c r="M181" s="22">
        <f>L181</f>
        <v>0</v>
      </c>
      <c r="O181" s="357"/>
    </row>
    <row r="182" spans="1:16" s="27" customFormat="1" ht="25.5" x14ac:dyDescent="0.25">
      <c r="A182" s="41">
        <f t="shared" si="15"/>
        <v>172</v>
      </c>
      <c r="B182" s="38" t="s">
        <v>59</v>
      </c>
      <c r="C182" s="314" t="s">
        <v>58</v>
      </c>
      <c r="D182" s="315" t="s">
        <v>25</v>
      </c>
      <c r="E182" s="316" t="s">
        <v>8</v>
      </c>
      <c r="F182" s="317">
        <v>1.07</v>
      </c>
      <c r="G182" s="9">
        <f>G181*F182</f>
        <v>38.520000000000003</v>
      </c>
      <c r="H182" s="3"/>
      <c r="I182" s="24"/>
      <c r="J182" s="25">
        <f>H182</f>
        <v>0</v>
      </c>
      <c r="K182" s="25">
        <f>G182*H182</f>
        <v>0</v>
      </c>
      <c r="L182" s="25"/>
      <c r="M182" s="26">
        <f>K182</f>
        <v>0</v>
      </c>
      <c r="O182" s="357"/>
    </row>
    <row r="183" spans="1:16" s="27" customFormat="1" ht="25.5" x14ac:dyDescent="0.25">
      <c r="A183" s="42">
        <f t="shared" si="15"/>
        <v>173</v>
      </c>
      <c r="B183" s="15"/>
      <c r="C183" s="314" t="s">
        <v>9</v>
      </c>
      <c r="D183" s="315" t="s">
        <v>25</v>
      </c>
      <c r="E183" s="316" t="s">
        <v>10</v>
      </c>
      <c r="F183" s="317">
        <v>12</v>
      </c>
      <c r="G183" s="9">
        <f>G181*F183</f>
        <v>432</v>
      </c>
      <c r="H183" s="3"/>
      <c r="I183" s="24"/>
      <c r="J183" s="25">
        <f>H183</f>
        <v>0</v>
      </c>
      <c r="K183" s="25">
        <f>G183*H183</f>
        <v>0</v>
      </c>
      <c r="L183" s="25"/>
      <c r="M183" s="26">
        <f>K183</f>
        <v>0</v>
      </c>
      <c r="O183" s="357"/>
    </row>
    <row r="184" spans="1:16" s="27" customFormat="1" ht="25.5" x14ac:dyDescent="0.25">
      <c r="A184" s="42">
        <f t="shared" si="15"/>
        <v>174</v>
      </c>
      <c r="B184" s="15"/>
      <c r="C184" s="314" t="s">
        <v>11</v>
      </c>
      <c r="D184" s="315" t="s">
        <v>25</v>
      </c>
      <c r="E184" s="316" t="s">
        <v>10</v>
      </c>
      <c r="F184" s="317">
        <v>0.25</v>
      </c>
      <c r="G184" s="9">
        <f>G181*F184</f>
        <v>9</v>
      </c>
      <c r="H184" s="3"/>
      <c r="I184" s="24"/>
      <c r="J184" s="25">
        <f>H184</f>
        <v>0</v>
      </c>
      <c r="K184" s="25">
        <f>G184*H184</f>
        <v>0</v>
      </c>
      <c r="L184" s="25"/>
      <c r="M184" s="26">
        <f>K184</f>
        <v>0</v>
      </c>
      <c r="O184" s="357"/>
    </row>
    <row r="185" spans="1:16" s="27" customFormat="1" ht="12.75" x14ac:dyDescent="0.25">
      <c r="A185" s="43">
        <f t="shared" ref="A185:A195" si="16">ROW()-10</f>
        <v>175</v>
      </c>
      <c r="B185" s="14" t="s">
        <v>113</v>
      </c>
      <c r="C185" s="8" t="s">
        <v>62</v>
      </c>
      <c r="D185" s="5" t="s">
        <v>22</v>
      </c>
      <c r="E185" s="6" t="s">
        <v>8</v>
      </c>
      <c r="F185" s="7">
        <v>1</v>
      </c>
      <c r="G185" s="18">
        <v>6</v>
      </c>
      <c r="H185" s="2"/>
      <c r="I185" s="4"/>
      <c r="J185" s="21">
        <f>I185</f>
        <v>0</v>
      </c>
      <c r="K185" s="21"/>
      <c r="L185" s="21">
        <f>G185*I185</f>
        <v>0</v>
      </c>
      <c r="M185" s="22">
        <f>L185</f>
        <v>0</v>
      </c>
      <c r="O185" s="357"/>
    </row>
    <row r="186" spans="1:16" s="27" customFormat="1" ht="25.5" x14ac:dyDescent="0.25">
      <c r="A186" s="41">
        <f t="shared" si="16"/>
        <v>176</v>
      </c>
      <c r="B186" s="38" t="s">
        <v>64</v>
      </c>
      <c r="C186" s="314" t="s">
        <v>67</v>
      </c>
      <c r="D186" s="315" t="s">
        <v>25</v>
      </c>
      <c r="E186" s="316" t="s">
        <v>8</v>
      </c>
      <c r="F186" s="317">
        <v>1.07</v>
      </c>
      <c r="G186" s="9">
        <f>G185*F186</f>
        <v>6.42</v>
      </c>
      <c r="H186" s="3"/>
      <c r="I186" s="24"/>
      <c r="J186" s="25">
        <f>H186</f>
        <v>0</v>
      </c>
      <c r="K186" s="25">
        <f>G186*H186</f>
        <v>0</v>
      </c>
      <c r="L186" s="25"/>
      <c r="M186" s="26">
        <f>K186</f>
        <v>0</v>
      </c>
      <c r="O186" s="357"/>
    </row>
    <row r="187" spans="1:16" s="27" customFormat="1" ht="25.5" x14ac:dyDescent="0.25">
      <c r="A187" s="42">
        <f t="shared" si="16"/>
        <v>177</v>
      </c>
      <c r="B187" s="15"/>
      <c r="C187" s="314" t="s">
        <v>9</v>
      </c>
      <c r="D187" s="315" t="s">
        <v>25</v>
      </c>
      <c r="E187" s="316" t="s">
        <v>10</v>
      </c>
      <c r="F187" s="317">
        <v>12</v>
      </c>
      <c r="G187" s="9">
        <f>G185*F187</f>
        <v>72</v>
      </c>
      <c r="H187" s="3"/>
      <c r="I187" s="24"/>
      <c r="J187" s="25">
        <f>H187</f>
        <v>0</v>
      </c>
      <c r="K187" s="25">
        <f>G187*H187</f>
        <v>0</v>
      </c>
      <c r="L187" s="25"/>
      <c r="M187" s="26">
        <f>K187</f>
        <v>0</v>
      </c>
      <c r="O187" s="357"/>
    </row>
    <row r="188" spans="1:16" s="27" customFormat="1" ht="25.5" x14ac:dyDescent="0.25">
      <c r="A188" s="42">
        <f t="shared" si="16"/>
        <v>178</v>
      </c>
      <c r="B188" s="15"/>
      <c r="C188" s="314" t="s">
        <v>11</v>
      </c>
      <c r="D188" s="315" t="s">
        <v>25</v>
      </c>
      <c r="E188" s="316" t="s">
        <v>10</v>
      </c>
      <c r="F188" s="317">
        <v>0.25</v>
      </c>
      <c r="G188" s="9">
        <f>G185*F188</f>
        <v>1.5</v>
      </c>
      <c r="H188" s="3"/>
      <c r="I188" s="24"/>
      <c r="J188" s="25">
        <f>H188</f>
        <v>0</v>
      </c>
      <c r="K188" s="25">
        <f>G188*H188</f>
        <v>0</v>
      </c>
      <c r="L188" s="25"/>
      <c r="M188" s="26">
        <f>K188</f>
        <v>0</v>
      </c>
      <c r="O188" s="357"/>
    </row>
    <row r="189" spans="1:16" s="27" customFormat="1" ht="25.5" x14ac:dyDescent="0.25">
      <c r="A189" s="43">
        <f t="shared" si="15"/>
        <v>179</v>
      </c>
      <c r="B189" s="14" t="s">
        <v>113</v>
      </c>
      <c r="C189" s="8" t="s">
        <v>17</v>
      </c>
      <c r="D189" s="5" t="s">
        <v>22</v>
      </c>
      <c r="E189" s="6" t="s">
        <v>12</v>
      </c>
      <c r="F189" s="7">
        <v>1</v>
      </c>
      <c r="G189" s="18">
        <f>29.8+6.1</f>
        <v>35.9</v>
      </c>
      <c r="H189" s="2"/>
      <c r="I189" s="4"/>
      <c r="J189" s="21">
        <f>I189</f>
        <v>0</v>
      </c>
      <c r="K189" s="21"/>
      <c r="L189" s="21">
        <f>G189*I189</f>
        <v>0</v>
      </c>
      <c r="M189" s="22">
        <f>L189</f>
        <v>0</v>
      </c>
      <c r="O189" s="357"/>
    </row>
    <row r="190" spans="1:16" s="27" customFormat="1" ht="25.5" x14ac:dyDescent="0.25">
      <c r="A190" s="42">
        <f t="shared" si="15"/>
        <v>180</v>
      </c>
      <c r="B190" s="15" t="s">
        <v>65</v>
      </c>
      <c r="C190" s="314" t="s">
        <v>66</v>
      </c>
      <c r="D190" s="315" t="s">
        <v>25</v>
      </c>
      <c r="E190" s="316" t="s">
        <v>8</v>
      </c>
      <c r="F190" s="317">
        <v>1.07</v>
      </c>
      <c r="G190" s="9">
        <f>G189*0.1*F190</f>
        <v>3.84</v>
      </c>
      <c r="H190" s="3"/>
      <c r="I190" s="24"/>
      <c r="J190" s="25">
        <f>H190</f>
        <v>0</v>
      </c>
      <c r="K190" s="25">
        <f>G190*H190</f>
        <v>0</v>
      </c>
      <c r="L190" s="25"/>
      <c r="M190" s="26">
        <f>K190</f>
        <v>0</v>
      </c>
      <c r="O190" s="357"/>
    </row>
    <row r="191" spans="1:16" s="27" customFormat="1" ht="25.5" x14ac:dyDescent="0.25">
      <c r="A191" s="42">
        <f t="shared" si="15"/>
        <v>181</v>
      </c>
      <c r="B191" s="15"/>
      <c r="C191" s="314" t="s">
        <v>9</v>
      </c>
      <c r="D191" s="315" t="s">
        <v>25</v>
      </c>
      <c r="E191" s="316" t="s">
        <v>10</v>
      </c>
      <c r="F191" s="317">
        <v>12</v>
      </c>
      <c r="G191" s="9">
        <f>G189*0.1*F191</f>
        <v>43.08</v>
      </c>
      <c r="H191" s="3"/>
      <c r="I191" s="24"/>
      <c r="J191" s="25">
        <f>H191</f>
        <v>0</v>
      </c>
      <c r="K191" s="25">
        <f>G191*H191</f>
        <v>0</v>
      </c>
      <c r="L191" s="25"/>
      <c r="M191" s="26">
        <f>K191</f>
        <v>0</v>
      </c>
      <c r="O191" s="357"/>
    </row>
    <row r="192" spans="1:16" s="27" customFormat="1" ht="25.5" x14ac:dyDescent="0.25">
      <c r="A192" s="42">
        <f t="shared" si="15"/>
        <v>182</v>
      </c>
      <c r="B192" s="15"/>
      <c r="C192" s="314" t="s">
        <v>11</v>
      </c>
      <c r="D192" s="315" t="s">
        <v>25</v>
      </c>
      <c r="E192" s="316" t="s">
        <v>10</v>
      </c>
      <c r="F192" s="317">
        <v>0.25</v>
      </c>
      <c r="G192" s="9">
        <f>G189*0.1*F192</f>
        <v>0.9</v>
      </c>
      <c r="H192" s="3"/>
      <c r="I192" s="24"/>
      <c r="J192" s="25">
        <f>H192</f>
        <v>0</v>
      </c>
      <c r="K192" s="25">
        <f>G192*H192</f>
        <v>0</v>
      </c>
      <c r="L192" s="25"/>
      <c r="M192" s="26">
        <f>K192</f>
        <v>0</v>
      </c>
      <c r="O192" s="357"/>
    </row>
    <row r="193" spans="1:16" s="27" customFormat="1" ht="12.75" x14ac:dyDescent="0.25">
      <c r="A193" s="43">
        <f t="shared" si="16"/>
        <v>183</v>
      </c>
      <c r="B193" s="14" t="s">
        <v>113</v>
      </c>
      <c r="C193" s="8" t="s">
        <v>76</v>
      </c>
      <c r="D193" s="5" t="s">
        <v>22</v>
      </c>
      <c r="E193" s="6" t="s">
        <v>12</v>
      </c>
      <c r="F193" s="7">
        <v>1</v>
      </c>
      <c r="G193" s="18">
        <v>2.9</v>
      </c>
      <c r="H193" s="2"/>
      <c r="I193" s="4"/>
      <c r="J193" s="21">
        <f>I193</f>
        <v>0</v>
      </c>
      <c r="K193" s="21"/>
      <c r="L193" s="21">
        <f>G193*I193</f>
        <v>0</v>
      </c>
      <c r="M193" s="22">
        <f>L193</f>
        <v>0</v>
      </c>
      <c r="O193" s="357"/>
    </row>
    <row r="194" spans="1:16" s="27" customFormat="1" ht="25.5" x14ac:dyDescent="0.25">
      <c r="A194" s="42">
        <f t="shared" si="16"/>
        <v>184</v>
      </c>
      <c r="B194" s="15"/>
      <c r="C194" s="314" t="s">
        <v>130</v>
      </c>
      <c r="D194" s="315" t="s">
        <v>25</v>
      </c>
      <c r="E194" s="316" t="s">
        <v>14</v>
      </c>
      <c r="F194" s="317">
        <v>0.3</v>
      </c>
      <c r="G194" s="9">
        <f>G193*0.1*F194</f>
        <v>0.09</v>
      </c>
      <c r="H194" s="3"/>
      <c r="I194" s="24"/>
      <c r="J194" s="25">
        <f>H194</f>
        <v>0</v>
      </c>
      <c r="K194" s="25">
        <f>G194*H194</f>
        <v>0</v>
      </c>
      <c r="L194" s="25"/>
      <c r="M194" s="26">
        <f>K194</f>
        <v>0</v>
      </c>
      <c r="O194" s="357"/>
    </row>
    <row r="195" spans="1:16" s="27" customFormat="1" ht="26.25" thickBot="1" x14ac:dyDescent="0.3">
      <c r="A195" s="42">
        <f t="shared" si="16"/>
        <v>185</v>
      </c>
      <c r="B195" s="15"/>
      <c r="C195" s="314" t="s">
        <v>13</v>
      </c>
      <c r="D195" s="315" t="s">
        <v>25</v>
      </c>
      <c r="E195" s="316" t="s">
        <v>14</v>
      </c>
      <c r="F195" s="317">
        <v>0.1</v>
      </c>
      <c r="G195" s="9">
        <f>G193*0.1*F195</f>
        <v>0.03</v>
      </c>
      <c r="H195" s="3"/>
      <c r="I195" s="24"/>
      <c r="J195" s="25">
        <f>H195</f>
        <v>0</v>
      </c>
      <c r="K195" s="25">
        <f>G195*H195</f>
        <v>0</v>
      </c>
      <c r="L195" s="25"/>
      <c r="M195" s="26">
        <f>K195</f>
        <v>0</v>
      </c>
      <c r="O195" s="357"/>
    </row>
    <row r="196" spans="1:16" s="29" customFormat="1" x14ac:dyDescent="0.25">
      <c r="A196" s="56"/>
      <c r="B196" s="57"/>
      <c r="C196" s="58" t="s">
        <v>135</v>
      </c>
      <c r="D196" s="59"/>
      <c r="E196" s="59"/>
      <c r="F196" s="59"/>
      <c r="G196" s="59"/>
      <c r="H196" s="59"/>
      <c r="I196" s="59"/>
      <c r="J196" s="59"/>
      <c r="K196" s="59">
        <f>SUM(K11:K195)</f>
        <v>0</v>
      </c>
      <c r="L196" s="59">
        <f>SUM(L11:L195)</f>
        <v>0</v>
      </c>
      <c r="M196" s="60">
        <f>SUM(M11:M195)</f>
        <v>0</v>
      </c>
      <c r="N196" s="19"/>
      <c r="O196" s="360"/>
      <c r="P196" s="19"/>
    </row>
    <row r="197" spans="1:16" ht="15.75" thickBot="1" x14ac:dyDescent="0.3">
      <c r="A197" s="61"/>
      <c r="B197" s="62"/>
      <c r="C197" s="63" t="s">
        <v>136</v>
      </c>
      <c r="D197" s="64"/>
      <c r="E197" s="65"/>
      <c r="F197" s="65"/>
      <c r="G197" s="65"/>
      <c r="H197" s="65"/>
      <c r="I197" s="65"/>
      <c r="J197" s="66"/>
      <c r="K197" s="65"/>
      <c r="L197" s="65"/>
      <c r="M197" s="72">
        <f>M196*0.22/1.22</f>
        <v>0</v>
      </c>
      <c r="O197" s="360"/>
    </row>
    <row r="198" spans="1:16" x14ac:dyDescent="0.25">
      <c r="A198" s="333" t="s">
        <v>142</v>
      </c>
      <c r="B198" s="334"/>
      <c r="C198" s="334"/>
      <c r="D198" s="334"/>
      <c r="E198" s="334"/>
      <c r="F198" s="334"/>
      <c r="G198" s="335"/>
      <c r="H198" s="336"/>
      <c r="I198" s="336"/>
      <c r="J198" s="337"/>
      <c r="K198" s="337"/>
      <c r="L198" s="337"/>
      <c r="M198" s="338"/>
      <c r="O198" s="360"/>
    </row>
    <row r="199" spans="1:16" x14ac:dyDescent="0.2">
      <c r="A199" s="362">
        <v>1</v>
      </c>
      <c r="B199" s="363"/>
      <c r="C199" s="364" t="s">
        <v>143</v>
      </c>
      <c r="D199" s="365"/>
      <c r="E199" s="366"/>
      <c r="F199" s="366"/>
      <c r="G199" s="367"/>
      <c r="H199" s="368"/>
      <c r="I199" s="369"/>
      <c r="J199" s="370"/>
      <c r="K199" s="370"/>
      <c r="L199" s="370"/>
      <c r="M199" s="371"/>
      <c r="O199" s="360"/>
    </row>
    <row r="200" spans="1:16" x14ac:dyDescent="0.2">
      <c r="A200" s="372">
        <v>2</v>
      </c>
      <c r="B200" s="373"/>
      <c r="C200" s="374" t="s">
        <v>144</v>
      </c>
      <c r="D200" s="375"/>
      <c r="E200" s="376"/>
      <c r="F200" s="376"/>
      <c r="G200" s="377"/>
      <c r="H200" s="368"/>
      <c r="I200" s="369"/>
      <c r="J200" s="370"/>
      <c r="K200" s="370"/>
      <c r="L200" s="370"/>
      <c r="M200" s="371"/>
      <c r="O200" s="360"/>
    </row>
    <row r="201" spans="1:16" x14ac:dyDescent="0.2">
      <c r="A201" s="372">
        <v>3</v>
      </c>
      <c r="B201" s="363"/>
      <c r="C201" s="374" t="s">
        <v>145</v>
      </c>
      <c r="D201" s="375"/>
      <c r="E201" s="376"/>
      <c r="F201" s="376"/>
      <c r="G201" s="377"/>
      <c r="H201" s="368"/>
      <c r="I201" s="369"/>
      <c r="J201" s="370"/>
      <c r="K201" s="370"/>
      <c r="L201" s="370"/>
      <c r="M201" s="371"/>
      <c r="O201" s="360"/>
    </row>
    <row r="202" spans="1:16" ht="25.5" x14ac:dyDescent="0.2">
      <c r="A202" s="372">
        <v>4</v>
      </c>
      <c r="B202" s="373"/>
      <c r="C202" s="374" t="s">
        <v>146</v>
      </c>
      <c r="D202" s="375"/>
      <c r="E202" s="376"/>
      <c r="F202" s="376"/>
      <c r="G202" s="377"/>
      <c r="H202" s="368"/>
      <c r="I202" s="369"/>
      <c r="J202" s="370"/>
      <c r="K202" s="370"/>
      <c r="L202" s="370"/>
      <c r="M202" s="371"/>
      <c r="O202" s="360"/>
    </row>
    <row r="203" spans="1:16" ht="25.5" x14ac:dyDescent="0.2">
      <c r="A203" s="372">
        <v>5</v>
      </c>
      <c r="B203" s="363"/>
      <c r="C203" s="374" t="s">
        <v>147</v>
      </c>
      <c r="D203" s="375"/>
      <c r="E203" s="376"/>
      <c r="F203" s="376"/>
      <c r="G203" s="377"/>
      <c r="H203" s="368"/>
      <c r="I203" s="369"/>
      <c r="J203" s="370"/>
      <c r="K203" s="370"/>
      <c r="L203" s="370"/>
      <c r="M203" s="371"/>
      <c r="O203" s="360"/>
    </row>
    <row r="204" spans="1:16" x14ac:dyDescent="0.2">
      <c r="A204" s="372">
        <v>6</v>
      </c>
      <c r="B204" s="373"/>
      <c r="C204" s="374" t="s">
        <v>148</v>
      </c>
      <c r="D204" s="375"/>
      <c r="E204" s="376"/>
      <c r="F204" s="376"/>
      <c r="G204" s="377"/>
      <c r="H204" s="368"/>
      <c r="I204" s="369"/>
      <c r="J204" s="370"/>
      <c r="K204" s="370"/>
      <c r="L204" s="370"/>
      <c r="M204" s="371"/>
      <c r="O204" s="360"/>
    </row>
    <row r="205" spans="1:16" x14ac:dyDescent="0.2">
      <c r="A205" s="372">
        <v>7</v>
      </c>
      <c r="B205" s="363"/>
      <c r="C205" s="374" t="s">
        <v>149</v>
      </c>
      <c r="D205" s="375"/>
      <c r="E205" s="376"/>
      <c r="F205" s="376"/>
      <c r="G205" s="377"/>
      <c r="H205" s="368"/>
      <c r="I205" s="369"/>
      <c r="J205" s="370"/>
      <c r="K205" s="370"/>
      <c r="L205" s="370"/>
      <c r="M205" s="371"/>
      <c r="O205" s="360"/>
    </row>
    <row r="206" spans="1:16" x14ac:dyDescent="0.2">
      <c r="A206" s="372">
        <v>8</v>
      </c>
      <c r="B206" s="373"/>
      <c r="C206" s="374" t="s">
        <v>150</v>
      </c>
      <c r="D206" s="375"/>
      <c r="E206" s="376"/>
      <c r="F206" s="376"/>
      <c r="G206" s="377"/>
      <c r="H206" s="368"/>
      <c r="I206" s="369"/>
      <c r="J206" s="370"/>
      <c r="K206" s="370"/>
      <c r="L206" s="370"/>
      <c r="M206" s="371"/>
      <c r="O206" s="360"/>
    </row>
    <row r="207" spans="1:16" x14ac:dyDescent="0.2">
      <c r="A207" s="372">
        <v>9</v>
      </c>
      <c r="B207" s="363"/>
      <c r="C207" s="374" t="s">
        <v>151</v>
      </c>
      <c r="D207" s="375"/>
      <c r="E207" s="376"/>
      <c r="F207" s="376"/>
      <c r="G207" s="377"/>
      <c r="H207" s="368"/>
      <c r="I207" s="369"/>
      <c r="J207" s="370"/>
      <c r="K207" s="370"/>
      <c r="L207" s="370"/>
      <c r="M207" s="371"/>
      <c r="O207" s="360"/>
    </row>
    <row r="208" spans="1:16" ht="25.5" x14ac:dyDescent="0.2">
      <c r="A208" s="372">
        <v>10</v>
      </c>
      <c r="B208" s="373"/>
      <c r="C208" s="378" t="s">
        <v>152</v>
      </c>
      <c r="D208" s="379"/>
      <c r="E208" s="376"/>
      <c r="F208" s="376"/>
      <c r="G208" s="377"/>
      <c r="H208" s="368"/>
      <c r="I208" s="369"/>
      <c r="J208" s="370"/>
      <c r="K208" s="370"/>
      <c r="L208" s="370"/>
      <c r="M208" s="371"/>
      <c r="O208" s="360"/>
    </row>
    <row r="209" spans="1:15" ht="15.75" thickBot="1" x14ac:dyDescent="0.25">
      <c r="A209" s="380">
        <v>11</v>
      </c>
      <c r="B209" s="381"/>
      <c r="C209" s="382" t="s">
        <v>153</v>
      </c>
      <c r="D209" s="383"/>
      <c r="E209" s="384"/>
      <c r="F209" s="384"/>
      <c r="G209" s="385"/>
      <c r="H209" s="386"/>
      <c r="I209" s="387"/>
      <c r="J209" s="388"/>
      <c r="K209" s="388"/>
      <c r="L209" s="388"/>
      <c r="M209" s="389"/>
      <c r="O209" s="361"/>
    </row>
    <row r="210" spans="1:15" x14ac:dyDescent="0.25">
      <c r="A210" s="339"/>
      <c r="B210" s="340"/>
      <c r="C210" s="341"/>
      <c r="D210" s="339"/>
      <c r="E210" s="340"/>
      <c r="F210" s="340"/>
      <c r="H210" s="340"/>
      <c r="I210" s="340"/>
      <c r="J210" s="342"/>
      <c r="K210" s="340"/>
      <c r="L210" s="340"/>
      <c r="M210" s="340"/>
    </row>
    <row r="211" spans="1:15" ht="81.75" customHeight="1" x14ac:dyDescent="0.25">
      <c r="A211" s="343" t="s">
        <v>156</v>
      </c>
      <c r="B211" s="344"/>
      <c r="C211" s="344"/>
      <c r="D211" s="344"/>
      <c r="E211" s="344"/>
      <c r="F211" s="344"/>
      <c r="G211" s="344"/>
      <c r="H211" s="344"/>
      <c r="I211" s="344"/>
      <c r="J211" s="344"/>
      <c r="K211" s="344"/>
      <c r="L211" s="344"/>
      <c r="M211" s="344"/>
    </row>
    <row r="212" spans="1:15" ht="62.25" customHeight="1" x14ac:dyDescent="0.2">
      <c r="A212" s="263"/>
      <c r="B212" s="263"/>
      <c r="C212" s="264" t="s">
        <v>154</v>
      </c>
      <c r="D212" s="264"/>
      <c r="E212" s="264"/>
      <c r="F212" s="264"/>
      <c r="G212" s="264"/>
      <c r="H212" s="264"/>
      <c r="I212" s="345"/>
      <c r="J212" s="345"/>
      <c r="K212" s="346"/>
      <c r="L212" s="345"/>
      <c r="M212" s="347"/>
    </row>
  </sheetData>
  <sheetProtection algorithmName="SHA-512" hashValue="hp1Ms0Y8XDYCidkknBzQRHS397JqJqdNHiTzhVrpVscA+E2bITspKUFY38mSNlbatSBXFLp+4I+2Z7D6QqNA2g==" saltValue="rhkLQXxdMDuayUeGjTM0Cg==" spinCount="100000" sheet="1" autoFilter="0"/>
  <autoFilter ref="A10:M209" xr:uid="{00000000-0001-0000-0000-000000000000}"/>
  <mergeCells count="16">
    <mergeCell ref="A211:M211"/>
    <mergeCell ref="O8:O10"/>
    <mergeCell ref="H8:I8"/>
    <mergeCell ref="J8:J9"/>
    <mergeCell ref="K8:L8"/>
    <mergeCell ref="M8:M9"/>
    <mergeCell ref="A4:M4"/>
    <mergeCell ref="A5:M5"/>
    <mergeCell ref="A6:M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scale="2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293B5-B7D4-46D0-A182-D809F9A4CE5B}">
  <dimension ref="A1:P210"/>
  <sheetViews>
    <sheetView view="pageBreakPreview" topLeftCell="A179" zoomScale="90" zoomScaleNormal="85" zoomScaleSheetLayoutView="90" workbookViewId="0">
      <selection activeCell="G191" sqref="G191 F193"/>
    </sheetView>
  </sheetViews>
  <sheetFormatPr defaultColWidth="9.140625" defaultRowHeight="15" x14ac:dyDescent="0.25"/>
  <cols>
    <col min="1" max="1" width="9.5703125" style="17" customWidth="1"/>
    <col min="2" max="2" width="16.42578125" style="16" customWidth="1"/>
    <col min="3" max="3" width="42.85546875" style="11" customWidth="1"/>
    <col min="4" max="4" width="17" style="10" customWidth="1"/>
    <col min="5" max="5" width="9.7109375" style="1" customWidth="1"/>
    <col min="6" max="6" width="9.5703125" style="1" customWidth="1"/>
    <col min="7" max="7" width="10.7109375" style="1" customWidth="1"/>
    <col min="8" max="9" width="13.7109375" style="1" customWidth="1"/>
    <col min="10" max="10" width="14.7109375" style="12" customWidth="1"/>
    <col min="11" max="11" width="13.28515625" style="1" customWidth="1"/>
    <col min="12" max="12" width="14.7109375" style="1" customWidth="1"/>
    <col min="13" max="13" width="17.28515625" style="1" customWidth="1"/>
    <col min="14" max="14" width="2.7109375" style="19" customWidth="1"/>
    <col min="15" max="15" width="62.140625" style="350" customWidth="1"/>
    <col min="16" max="16" width="2.7109375" style="19" customWidth="1"/>
    <col min="17" max="16384" width="9.140625" style="19"/>
  </cols>
  <sheetData>
    <row r="1" spans="1:15" s="265" customFormat="1" ht="15.75" x14ac:dyDescent="0.2">
      <c r="A1" s="263"/>
      <c r="B1" s="263"/>
      <c r="C1" s="264"/>
      <c r="D1" s="264"/>
      <c r="E1" s="264"/>
      <c r="F1" s="264"/>
      <c r="G1" s="264"/>
      <c r="H1" s="264"/>
      <c r="J1" s="266"/>
      <c r="K1" s="267"/>
      <c r="L1" s="267"/>
      <c r="M1" s="268" t="s">
        <v>55</v>
      </c>
      <c r="O1" s="348"/>
    </row>
    <row r="2" spans="1:15" s="265" customFormat="1" ht="15.75" customHeight="1" x14ac:dyDescent="0.2">
      <c r="A2" s="263"/>
      <c r="B2" s="263"/>
      <c r="C2" s="264"/>
      <c r="D2" s="264"/>
      <c r="E2" s="264"/>
      <c r="F2" s="264"/>
      <c r="G2" s="264"/>
      <c r="H2" s="264"/>
      <c r="J2" s="266"/>
      <c r="K2" s="267"/>
      <c r="L2" s="267"/>
      <c r="M2" s="268" t="s">
        <v>56</v>
      </c>
      <c r="O2" s="348"/>
    </row>
    <row r="3" spans="1:15" s="265" customFormat="1" ht="15.75" customHeight="1" x14ac:dyDescent="0.2">
      <c r="A3" s="263"/>
      <c r="B3" s="263"/>
      <c r="C3" s="264"/>
      <c r="D3" s="264"/>
      <c r="E3" s="264"/>
      <c r="F3" s="264"/>
      <c r="G3" s="264"/>
      <c r="H3" s="264"/>
      <c r="J3" s="266"/>
      <c r="K3" s="267"/>
      <c r="L3" s="267"/>
      <c r="M3" s="268"/>
      <c r="O3" s="348"/>
    </row>
    <row r="4" spans="1:15" s="271" customFormat="1" ht="20.25" x14ac:dyDescent="0.25">
      <c r="A4" s="269" t="s">
        <v>57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70"/>
      <c r="O4" s="349"/>
    </row>
    <row r="5" spans="1:15" ht="18.75" customHeight="1" x14ac:dyDescent="0.25">
      <c r="A5" s="74" t="s">
        <v>54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1:15" ht="15.75" x14ac:dyDescent="0.25">
      <c r="A6" s="75" t="s">
        <v>81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</row>
    <row r="7" spans="1:15" ht="16.5" thickBot="1" x14ac:dyDescent="0.3">
      <c r="A7" s="13"/>
      <c r="B7" s="1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</row>
    <row r="8" spans="1:15" ht="15" customHeight="1" x14ac:dyDescent="0.25">
      <c r="A8" s="272" t="s">
        <v>137</v>
      </c>
      <c r="B8" s="273" t="s">
        <v>0</v>
      </c>
      <c r="C8" s="274" t="s">
        <v>4</v>
      </c>
      <c r="D8" s="274" t="s">
        <v>1</v>
      </c>
      <c r="E8" s="274" t="s">
        <v>5</v>
      </c>
      <c r="F8" s="275" t="s">
        <v>6</v>
      </c>
      <c r="G8" s="276" t="s">
        <v>3</v>
      </c>
      <c r="H8" s="277" t="s">
        <v>138</v>
      </c>
      <c r="I8" s="278"/>
      <c r="J8" s="278" t="s">
        <v>139</v>
      </c>
      <c r="K8" s="278" t="s">
        <v>140</v>
      </c>
      <c r="L8" s="278"/>
      <c r="M8" s="279" t="s">
        <v>141</v>
      </c>
      <c r="O8" s="351" t="s">
        <v>155</v>
      </c>
    </row>
    <row r="9" spans="1:15" ht="36.75" customHeight="1" thickBot="1" x14ac:dyDescent="0.3">
      <c r="A9" s="280"/>
      <c r="B9" s="281"/>
      <c r="C9" s="282"/>
      <c r="D9" s="282"/>
      <c r="E9" s="282"/>
      <c r="F9" s="283"/>
      <c r="G9" s="284"/>
      <c r="H9" s="285" t="s">
        <v>2</v>
      </c>
      <c r="I9" s="286" t="s">
        <v>7</v>
      </c>
      <c r="J9" s="287"/>
      <c r="K9" s="286" t="s">
        <v>2</v>
      </c>
      <c r="L9" s="286" t="s">
        <v>7</v>
      </c>
      <c r="M9" s="288"/>
      <c r="O9" s="352"/>
    </row>
    <row r="10" spans="1:15" s="20" customFormat="1" ht="12.75" x14ac:dyDescent="0.25">
      <c r="A10" s="31">
        <v>1</v>
      </c>
      <c r="B10" s="32">
        <v>2</v>
      </c>
      <c r="C10" s="32">
        <v>3</v>
      </c>
      <c r="D10" s="32">
        <v>4</v>
      </c>
      <c r="E10" s="32">
        <v>5</v>
      </c>
      <c r="F10" s="33">
        <v>6</v>
      </c>
      <c r="G10" s="35">
        <v>9</v>
      </c>
      <c r="H10" s="34" t="s">
        <v>26</v>
      </c>
      <c r="I10" s="35" t="s">
        <v>27</v>
      </c>
      <c r="J10" s="34" t="s">
        <v>28</v>
      </c>
      <c r="K10" s="35" t="s">
        <v>29</v>
      </c>
      <c r="L10" s="34" t="s">
        <v>30</v>
      </c>
      <c r="M10" s="35" t="s">
        <v>31</v>
      </c>
      <c r="O10" s="352"/>
    </row>
    <row r="11" spans="1:15" s="23" customFormat="1" ht="12.75" x14ac:dyDescent="0.25">
      <c r="A11" s="289">
        <f>ROW()-10</f>
        <v>1</v>
      </c>
      <c r="B11" s="290" t="s">
        <v>84</v>
      </c>
      <c r="C11" s="291" t="s">
        <v>85</v>
      </c>
      <c r="D11" s="45"/>
      <c r="E11" s="292"/>
      <c r="F11" s="293"/>
      <c r="G11" s="294"/>
      <c r="H11" s="295"/>
      <c r="I11" s="296"/>
      <c r="J11" s="46"/>
      <c r="K11" s="46"/>
      <c r="L11" s="46"/>
      <c r="M11" s="47"/>
      <c r="O11" s="354"/>
    </row>
    <row r="12" spans="1:15" s="23" customFormat="1" ht="12.75" x14ac:dyDescent="0.25">
      <c r="A12" s="297">
        <f>ROW()-10</f>
        <v>2</v>
      </c>
      <c r="B12" s="298" t="s">
        <v>84</v>
      </c>
      <c r="C12" s="299" t="s">
        <v>86</v>
      </c>
      <c r="D12" s="48"/>
      <c r="E12" s="300"/>
      <c r="F12" s="301"/>
      <c r="G12" s="302"/>
      <c r="H12" s="303"/>
      <c r="I12" s="304"/>
      <c r="J12" s="51"/>
      <c r="K12" s="51"/>
      <c r="L12" s="51"/>
      <c r="M12" s="52"/>
      <c r="O12" s="354"/>
    </row>
    <row r="13" spans="1:15" s="44" customFormat="1" ht="25.5" customHeight="1" x14ac:dyDescent="0.25">
      <c r="A13" s="305">
        <f>ROW()-10</f>
        <v>3</v>
      </c>
      <c r="B13" s="306" t="s">
        <v>87</v>
      </c>
      <c r="C13" s="307" t="s">
        <v>88</v>
      </c>
      <c r="D13" s="36"/>
      <c r="E13" s="308"/>
      <c r="F13" s="309"/>
      <c r="G13" s="310"/>
      <c r="H13" s="311"/>
      <c r="I13" s="312"/>
      <c r="J13" s="28"/>
      <c r="K13" s="28"/>
      <c r="L13" s="28"/>
      <c r="M13" s="40"/>
      <c r="O13" s="355"/>
    </row>
    <row r="14" spans="1:15" s="23" customFormat="1" ht="25.5" x14ac:dyDescent="0.25">
      <c r="A14" s="43">
        <f t="shared" ref="A14:A39" si="0">ROW()-10</f>
        <v>4</v>
      </c>
      <c r="B14" s="14" t="s">
        <v>89</v>
      </c>
      <c r="C14" s="55" t="s">
        <v>90</v>
      </c>
      <c r="D14" s="5" t="s">
        <v>22</v>
      </c>
      <c r="E14" s="6" t="s">
        <v>8</v>
      </c>
      <c r="F14" s="7">
        <v>1</v>
      </c>
      <c r="G14" s="313">
        <f>17.78+27.3+32.72+4.08+10.78+10.99</f>
        <v>103.65</v>
      </c>
      <c r="H14" s="2"/>
      <c r="I14" s="4"/>
      <c r="J14" s="21">
        <f>I14</f>
        <v>0</v>
      </c>
      <c r="K14" s="21"/>
      <c r="L14" s="21">
        <f>G14*I14</f>
        <v>0</v>
      </c>
      <c r="M14" s="22">
        <f>L14</f>
        <v>0</v>
      </c>
      <c r="O14" s="354"/>
    </row>
    <row r="15" spans="1:15" s="68" customFormat="1" ht="25.5" x14ac:dyDescent="0.25">
      <c r="A15" s="42">
        <f t="shared" si="0"/>
        <v>5</v>
      </c>
      <c r="B15" s="15"/>
      <c r="C15" s="314" t="s">
        <v>91</v>
      </c>
      <c r="D15" s="315" t="s">
        <v>25</v>
      </c>
      <c r="E15" s="316" t="s">
        <v>8</v>
      </c>
      <c r="F15" s="317">
        <v>1.05</v>
      </c>
      <c r="G15" s="318">
        <f>(17.78+27.3+32.72)*F15*2</f>
        <v>163.38</v>
      </c>
      <c r="H15" s="3"/>
      <c r="I15" s="24"/>
      <c r="J15" s="25">
        <f t="shared" ref="J15:J27" si="1">H15</f>
        <v>0</v>
      </c>
      <c r="K15" s="25">
        <f t="shared" ref="K15:K27" si="2">G15*H15</f>
        <v>0</v>
      </c>
      <c r="L15" s="25"/>
      <c r="M15" s="26">
        <f t="shared" ref="M15:M27" si="3">K15</f>
        <v>0</v>
      </c>
      <c r="O15" s="356"/>
    </row>
    <row r="16" spans="1:15" s="68" customFormat="1" ht="25.5" x14ac:dyDescent="0.25">
      <c r="A16" s="42">
        <f t="shared" si="0"/>
        <v>6</v>
      </c>
      <c r="B16" s="15" t="s">
        <v>93</v>
      </c>
      <c r="C16" s="314" t="s">
        <v>92</v>
      </c>
      <c r="D16" s="315" t="s">
        <v>25</v>
      </c>
      <c r="E16" s="316" t="s">
        <v>8</v>
      </c>
      <c r="F16" s="317">
        <v>1.05</v>
      </c>
      <c r="G16" s="318">
        <f>4.08*F16*2</f>
        <v>8.57</v>
      </c>
      <c r="H16" s="3"/>
      <c r="I16" s="24"/>
      <c r="J16" s="25">
        <f t="shared" si="1"/>
        <v>0</v>
      </c>
      <c r="K16" s="25">
        <f t="shared" si="2"/>
        <v>0</v>
      </c>
      <c r="L16" s="25"/>
      <c r="M16" s="26">
        <f t="shared" si="3"/>
        <v>0</v>
      </c>
      <c r="O16" s="356"/>
    </row>
    <row r="17" spans="1:15" s="68" customFormat="1" ht="25.5" x14ac:dyDescent="0.25">
      <c r="A17" s="42">
        <f t="shared" si="0"/>
        <v>7</v>
      </c>
      <c r="B17" s="15" t="s">
        <v>94</v>
      </c>
      <c r="C17" s="314" t="s">
        <v>95</v>
      </c>
      <c r="D17" s="315" t="s">
        <v>25</v>
      </c>
      <c r="E17" s="316" t="s">
        <v>8</v>
      </c>
      <c r="F17" s="317">
        <v>1.05</v>
      </c>
      <c r="G17" s="318">
        <f>(10.78+10.99)*F17*2</f>
        <v>45.72</v>
      </c>
      <c r="H17" s="3"/>
      <c r="I17" s="24"/>
      <c r="J17" s="25">
        <f t="shared" si="1"/>
        <v>0</v>
      </c>
      <c r="K17" s="25">
        <f t="shared" si="2"/>
        <v>0</v>
      </c>
      <c r="L17" s="25"/>
      <c r="M17" s="26">
        <f t="shared" si="3"/>
        <v>0</v>
      </c>
      <c r="O17" s="356"/>
    </row>
    <row r="18" spans="1:15" s="68" customFormat="1" ht="25.5" x14ac:dyDescent="0.25">
      <c r="A18" s="42">
        <f t="shared" si="0"/>
        <v>8</v>
      </c>
      <c r="B18" s="15"/>
      <c r="C18" s="314" t="s">
        <v>39</v>
      </c>
      <c r="D18" s="315" t="s">
        <v>25</v>
      </c>
      <c r="E18" s="316" t="s">
        <v>12</v>
      </c>
      <c r="F18" s="317">
        <v>2.9</v>
      </c>
      <c r="G18" s="318">
        <f>$G$14*F18</f>
        <v>300.58999999999997</v>
      </c>
      <c r="H18" s="3"/>
      <c r="I18" s="24"/>
      <c r="J18" s="25">
        <f t="shared" si="1"/>
        <v>0</v>
      </c>
      <c r="K18" s="25">
        <f t="shared" si="2"/>
        <v>0</v>
      </c>
      <c r="L18" s="25"/>
      <c r="M18" s="26">
        <f t="shared" si="3"/>
        <v>0</v>
      </c>
      <c r="O18" s="356"/>
    </row>
    <row r="19" spans="1:15" s="68" customFormat="1" ht="25.5" x14ac:dyDescent="0.25">
      <c r="A19" s="42">
        <f t="shared" si="0"/>
        <v>9</v>
      </c>
      <c r="B19" s="15"/>
      <c r="C19" s="314" t="s">
        <v>35</v>
      </c>
      <c r="D19" s="315" t="s">
        <v>25</v>
      </c>
      <c r="E19" s="316" t="s">
        <v>12</v>
      </c>
      <c r="F19" s="317">
        <v>1.35</v>
      </c>
      <c r="G19" s="318">
        <f>$G$14*F19</f>
        <v>139.93</v>
      </c>
      <c r="H19" s="3"/>
      <c r="I19" s="24"/>
      <c r="J19" s="25">
        <f t="shared" si="1"/>
        <v>0</v>
      </c>
      <c r="K19" s="25">
        <f t="shared" si="2"/>
        <v>0</v>
      </c>
      <c r="L19" s="25"/>
      <c r="M19" s="26">
        <f t="shared" si="3"/>
        <v>0</v>
      </c>
      <c r="O19" s="356"/>
    </row>
    <row r="20" spans="1:15" s="68" customFormat="1" ht="25.5" x14ac:dyDescent="0.25">
      <c r="A20" s="42">
        <f t="shared" si="0"/>
        <v>10</v>
      </c>
      <c r="B20" s="15"/>
      <c r="C20" s="314" t="s">
        <v>40</v>
      </c>
      <c r="D20" s="315" t="s">
        <v>25</v>
      </c>
      <c r="E20" s="316" t="s">
        <v>34</v>
      </c>
      <c r="F20" s="317">
        <v>0.2</v>
      </c>
      <c r="G20" s="318">
        <f>ROUNDUP($G$14*F20,0)</f>
        <v>21</v>
      </c>
      <c r="H20" s="3"/>
      <c r="I20" s="24"/>
      <c r="J20" s="25">
        <f t="shared" si="1"/>
        <v>0</v>
      </c>
      <c r="K20" s="25">
        <f t="shared" si="2"/>
        <v>0</v>
      </c>
      <c r="L20" s="25"/>
      <c r="M20" s="26">
        <f t="shared" si="3"/>
        <v>0</v>
      </c>
      <c r="O20" s="356"/>
    </row>
    <row r="21" spans="1:15" s="68" customFormat="1" ht="25.5" x14ac:dyDescent="0.25">
      <c r="A21" s="42">
        <f t="shared" si="0"/>
        <v>11</v>
      </c>
      <c r="B21" s="15"/>
      <c r="C21" s="314" t="s">
        <v>41</v>
      </c>
      <c r="D21" s="315" t="s">
        <v>25</v>
      </c>
      <c r="E21" s="316" t="s">
        <v>34</v>
      </c>
      <c r="F21" s="317">
        <v>1.7</v>
      </c>
      <c r="G21" s="318">
        <f>ROUNDUP($G$14*F21,0)</f>
        <v>177</v>
      </c>
      <c r="H21" s="3"/>
      <c r="I21" s="24"/>
      <c r="J21" s="25">
        <f t="shared" si="1"/>
        <v>0</v>
      </c>
      <c r="K21" s="25">
        <f t="shared" si="2"/>
        <v>0</v>
      </c>
      <c r="L21" s="25"/>
      <c r="M21" s="26">
        <f t="shared" si="3"/>
        <v>0</v>
      </c>
      <c r="O21" s="356"/>
    </row>
    <row r="22" spans="1:15" s="68" customFormat="1" ht="25.5" x14ac:dyDescent="0.25">
      <c r="A22" s="42">
        <f t="shared" si="0"/>
        <v>12</v>
      </c>
      <c r="B22" s="15"/>
      <c r="C22" s="314" t="s">
        <v>42</v>
      </c>
      <c r="D22" s="315" t="s">
        <v>25</v>
      </c>
      <c r="E22" s="316" t="s">
        <v>34</v>
      </c>
      <c r="F22" s="317">
        <v>0.7</v>
      </c>
      <c r="G22" s="318">
        <f>ROUNDUP($G$14*F22,0)</f>
        <v>73</v>
      </c>
      <c r="H22" s="3"/>
      <c r="I22" s="24"/>
      <c r="J22" s="25">
        <f t="shared" si="1"/>
        <v>0</v>
      </c>
      <c r="K22" s="25">
        <f t="shared" si="2"/>
        <v>0</v>
      </c>
      <c r="L22" s="25"/>
      <c r="M22" s="26">
        <f t="shared" si="3"/>
        <v>0</v>
      </c>
      <c r="O22" s="356"/>
    </row>
    <row r="23" spans="1:15" s="68" customFormat="1" ht="25.5" x14ac:dyDescent="0.25">
      <c r="A23" s="42">
        <f t="shared" si="0"/>
        <v>13</v>
      </c>
      <c r="B23" s="15"/>
      <c r="C23" s="314" t="s">
        <v>43</v>
      </c>
      <c r="D23" s="315" t="s">
        <v>25</v>
      </c>
      <c r="E23" s="316" t="s">
        <v>34</v>
      </c>
      <c r="F23" s="317">
        <v>0.7</v>
      </c>
      <c r="G23" s="318">
        <f>ROUNDUP($G$14*F23,0)</f>
        <v>73</v>
      </c>
      <c r="H23" s="3"/>
      <c r="I23" s="24"/>
      <c r="J23" s="25">
        <f t="shared" si="1"/>
        <v>0</v>
      </c>
      <c r="K23" s="25">
        <f t="shared" si="2"/>
        <v>0</v>
      </c>
      <c r="L23" s="25"/>
      <c r="M23" s="26">
        <f t="shared" si="3"/>
        <v>0</v>
      </c>
      <c r="O23" s="356"/>
    </row>
    <row r="24" spans="1:15" s="68" customFormat="1" ht="25.5" x14ac:dyDescent="0.25">
      <c r="A24" s="42">
        <f t="shared" si="0"/>
        <v>14</v>
      </c>
      <c r="B24" s="15"/>
      <c r="C24" s="314" t="s">
        <v>36</v>
      </c>
      <c r="D24" s="315" t="s">
        <v>25</v>
      </c>
      <c r="E24" s="316" t="s">
        <v>34</v>
      </c>
      <c r="F24" s="317">
        <v>23</v>
      </c>
      <c r="G24" s="318">
        <f>ROUNDUP($G$14*F24*2,0)</f>
        <v>4768</v>
      </c>
      <c r="H24" s="3"/>
      <c r="I24" s="24"/>
      <c r="J24" s="25">
        <f t="shared" si="1"/>
        <v>0</v>
      </c>
      <c r="K24" s="25">
        <f t="shared" si="2"/>
        <v>0</v>
      </c>
      <c r="L24" s="25"/>
      <c r="M24" s="26">
        <f t="shared" si="3"/>
        <v>0</v>
      </c>
      <c r="O24" s="356"/>
    </row>
    <row r="25" spans="1:15" s="68" customFormat="1" ht="25.5" x14ac:dyDescent="0.25">
      <c r="A25" s="42">
        <f t="shared" si="0"/>
        <v>15</v>
      </c>
      <c r="B25" s="15"/>
      <c r="C25" s="314" t="s">
        <v>44</v>
      </c>
      <c r="D25" s="315" t="s">
        <v>25</v>
      </c>
      <c r="E25" s="316" t="s">
        <v>34</v>
      </c>
      <c r="F25" s="317">
        <v>0.7</v>
      </c>
      <c r="G25" s="318">
        <f>ROUNDUP($G$14*F25*2,0)</f>
        <v>146</v>
      </c>
      <c r="H25" s="3"/>
      <c r="I25" s="24"/>
      <c r="J25" s="25">
        <f t="shared" si="1"/>
        <v>0</v>
      </c>
      <c r="K25" s="25">
        <f t="shared" si="2"/>
        <v>0</v>
      </c>
      <c r="L25" s="25"/>
      <c r="M25" s="26">
        <f t="shared" si="3"/>
        <v>0</v>
      </c>
      <c r="O25" s="356"/>
    </row>
    <row r="26" spans="1:15" s="68" customFormat="1" ht="25.5" x14ac:dyDescent="0.25">
      <c r="A26" s="42">
        <f t="shared" si="0"/>
        <v>16</v>
      </c>
      <c r="B26" s="15"/>
      <c r="C26" s="314" t="s">
        <v>37</v>
      </c>
      <c r="D26" s="315" t="s">
        <v>25</v>
      </c>
      <c r="E26" s="316" t="s">
        <v>10</v>
      </c>
      <c r="F26" s="317">
        <v>0.35</v>
      </c>
      <c r="G26" s="318">
        <f>$G$14*F26</f>
        <v>36.28</v>
      </c>
      <c r="H26" s="3"/>
      <c r="I26" s="24"/>
      <c r="J26" s="25">
        <f t="shared" si="1"/>
        <v>0</v>
      </c>
      <c r="K26" s="25">
        <f t="shared" si="2"/>
        <v>0</v>
      </c>
      <c r="L26" s="25"/>
      <c r="M26" s="26">
        <f t="shared" si="3"/>
        <v>0</v>
      </c>
      <c r="O26" s="356"/>
    </row>
    <row r="27" spans="1:15" s="68" customFormat="1" ht="25.5" x14ac:dyDescent="0.25">
      <c r="A27" s="42">
        <f t="shared" si="0"/>
        <v>17</v>
      </c>
      <c r="B27" s="15"/>
      <c r="C27" s="314" t="s">
        <v>38</v>
      </c>
      <c r="D27" s="315" t="s">
        <v>25</v>
      </c>
      <c r="E27" s="316" t="s">
        <v>12</v>
      </c>
      <c r="F27" s="317">
        <v>1.2</v>
      </c>
      <c r="G27" s="318">
        <f>$G$14*F27</f>
        <v>124.38</v>
      </c>
      <c r="H27" s="3"/>
      <c r="I27" s="24"/>
      <c r="J27" s="25">
        <f t="shared" si="1"/>
        <v>0</v>
      </c>
      <c r="K27" s="25">
        <f t="shared" si="2"/>
        <v>0</v>
      </c>
      <c r="L27" s="25"/>
      <c r="M27" s="26">
        <f t="shared" si="3"/>
        <v>0</v>
      </c>
      <c r="O27" s="356"/>
    </row>
    <row r="28" spans="1:15" s="23" customFormat="1" ht="12.75" x14ac:dyDescent="0.25">
      <c r="A28" s="319">
        <f t="shared" si="0"/>
        <v>18</v>
      </c>
      <c r="B28" s="320" t="s">
        <v>96</v>
      </c>
      <c r="C28" s="321" t="s">
        <v>97</v>
      </c>
      <c r="D28" s="322" t="s">
        <v>22</v>
      </c>
      <c r="E28" s="323" t="s">
        <v>8</v>
      </c>
      <c r="F28" s="143">
        <v>1</v>
      </c>
      <c r="G28" s="313">
        <v>13.2</v>
      </c>
      <c r="H28" s="2"/>
      <c r="I28" s="4"/>
      <c r="J28" s="21">
        <f>I28</f>
        <v>0</v>
      </c>
      <c r="K28" s="21"/>
      <c r="L28" s="21">
        <f>G28*I28</f>
        <v>0</v>
      </c>
      <c r="M28" s="22">
        <f>L28</f>
        <v>0</v>
      </c>
      <c r="O28" s="354"/>
    </row>
    <row r="29" spans="1:15" s="68" customFormat="1" ht="25.5" x14ac:dyDescent="0.25">
      <c r="A29" s="324">
        <f t="shared" si="0"/>
        <v>19</v>
      </c>
      <c r="B29" s="325"/>
      <c r="C29" s="314" t="s">
        <v>98</v>
      </c>
      <c r="D29" s="315" t="s">
        <v>25</v>
      </c>
      <c r="E29" s="316" t="s">
        <v>12</v>
      </c>
      <c r="F29" s="317">
        <v>1.1000000000000001</v>
      </c>
      <c r="G29" s="318">
        <f>G28*9*F29</f>
        <v>130.68</v>
      </c>
      <c r="H29" s="3"/>
      <c r="I29" s="24"/>
      <c r="J29" s="25">
        <f>H29</f>
        <v>0</v>
      </c>
      <c r="K29" s="25">
        <f>G29*H29</f>
        <v>0</v>
      </c>
      <c r="L29" s="25"/>
      <c r="M29" s="26">
        <f>K29</f>
        <v>0</v>
      </c>
      <c r="O29" s="356"/>
    </row>
    <row r="30" spans="1:15" s="23" customFormat="1" ht="12.75" x14ac:dyDescent="0.25">
      <c r="A30" s="43">
        <f t="shared" si="0"/>
        <v>20</v>
      </c>
      <c r="B30" s="14" t="s">
        <v>99</v>
      </c>
      <c r="C30" s="55" t="s">
        <v>100</v>
      </c>
      <c r="D30" s="5" t="s">
        <v>22</v>
      </c>
      <c r="E30" s="6" t="s">
        <v>8</v>
      </c>
      <c r="F30" s="7">
        <v>1</v>
      </c>
      <c r="G30" s="313">
        <f>62.9+21.6+31.5</f>
        <v>116</v>
      </c>
      <c r="H30" s="2"/>
      <c r="I30" s="4"/>
      <c r="J30" s="21">
        <f>I30</f>
        <v>0</v>
      </c>
      <c r="K30" s="21"/>
      <c r="L30" s="21">
        <f>G30*I30</f>
        <v>0</v>
      </c>
      <c r="M30" s="22">
        <f>L30</f>
        <v>0</v>
      </c>
      <c r="O30" s="354"/>
    </row>
    <row r="31" spans="1:15" s="68" customFormat="1" ht="25.5" x14ac:dyDescent="0.25">
      <c r="A31" s="42">
        <f t="shared" si="0"/>
        <v>21</v>
      </c>
      <c r="B31" s="15"/>
      <c r="C31" s="326" t="s">
        <v>13</v>
      </c>
      <c r="D31" s="315" t="s">
        <v>25</v>
      </c>
      <c r="E31" s="316" t="s">
        <v>14</v>
      </c>
      <c r="F31" s="317">
        <v>0.1</v>
      </c>
      <c r="G31" s="318">
        <f>G30*F31</f>
        <v>11.6</v>
      </c>
      <c r="H31" s="3"/>
      <c r="I31" s="24"/>
      <c r="J31" s="25">
        <f>H31</f>
        <v>0</v>
      </c>
      <c r="K31" s="25">
        <f>G31*H31</f>
        <v>0</v>
      </c>
      <c r="L31" s="25"/>
      <c r="M31" s="26">
        <f>K31</f>
        <v>0</v>
      </c>
      <c r="O31" s="356"/>
    </row>
    <row r="32" spans="1:15" s="68" customFormat="1" ht="25.5" x14ac:dyDescent="0.25">
      <c r="A32" s="42">
        <f t="shared" si="0"/>
        <v>22</v>
      </c>
      <c r="B32" s="15"/>
      <c r="C32" s="326" t="s">
        <v>101</v>
      </c>
      <c r="D32" s="315" t="s">
        <v>25</v>
      </c>
      <c r="E32" s="316" t="s">
        <v>10</v>
      </c>
      <c r="F32" s="317">
        <v>1.2</v>
      </c>
      <c r="G32" s="318">
        <f>G30*F32</f>
        <v>139.19999999999999</v>
      </c>
      <c r="H32" s="3"/>
      <c r="I32" s="24"/>
      <c r="J32" s="25">
        <f>H32</f>
        <v>0</v>
      </c>
      <c r="K32" s="25">
        <f>G32*H32</f>
        <v>0</v>
      </c>
      <c r="L32" s="25"/>
      <c r="M32" s="26">
        <f>K32</f>
        <v>0</v>
      </c>
      <c r="O32" s="356"/>
    </row>
    <row r="33" spans="1:15" s="68" customFormat="1" ht="25.5" x14ac:dyDescent="0.25">
      <c r="A33" s="42">
        <f t="shared" si="0"/>
        <v>23</v>
      </c>
      <c r="B33" s="15"/>
      <c r="C33" s="314" t="s">
        <v>23</v>
      </c>
      <c r="D33" s="315" t="s">
        <v>25</v>
      </c>
      <c r="E33" s="316" t="s">
        <v>10</v>
      </c>
      <c r="F33" s="317">
        <v>1.7</v>
      </c>
      <c r="G33" s="318">
        <f>G30*F33</f>
        <v>197.2</v>
      </c>
      <c r="H33" s="3"/>
      <c r="I33" s="24"/>
      <c r="J33" s="25">
        <f>H33</f>
        <v>0</v>
      </c>
      <c r="K33" s="25">
        <f>G33*H33</f>
        <v>0</v>
      </c>
      <c r="L33" s="25"/>
      <c r="M33" s="26">
        <f>K33</f>
        <v>0</v>
      </c>
      <c r="O33" s="356"/>
    </row>
    <row r="34" spans="1:15" s="23" customFormat="1" ht="38.25" x14ac:dyDescent="0.25">
      <c r="A34" s="43">
        <f t="shared" si="0"/>
        <v>24</v>
      </c>
      <c r="B34" s="14" t="s">
        <v>102</v>
      </c>
      <c r="C34" s="8" t="s">
        <v>103</v>
      </c>
      <c r="D34" s="5" t="s">
        <v>22</v>
      </c>
      <c r="E34" s="6" t="s">
        <v>8</v>
      </c>
      <c r="F34" s="7">
        <v>1</v>
      </c>
      <c r="G34" s="313">
        <f>62.9+21.6+31.5+13.2</f>
        <v>129.19999999999999</v>
      </c>
      <c r="H34" s="2"/>
      <c r="I34" s="4"/>
      <c r="J34" s="21">
        <f>I34</f>
        <v>0</v>
      </c>
      <c r="K34" s="21"/>
      <c r="L34" s="21">
        <f>G34*I34</f>
        <v>0</v>
      </c>
      <c r="M34" s="22">
        <f>L34</f>
        <v>0</v>
      </c>
      <c r="O34" s="354"/>
    </row>
    <row r="35" spans="1:15" s="68" customFormat="1" ht="25.5" x14ac:dyDescent="0.25">
      <c r="A35" s="42">
        <f t="shared" si="0"/>
        <v>25</v>
      </c>
      <c r="B35" s="15"/>
      <c r="C35" s="314" t="s">
        <v>13</v>
      </c>
      <c r="D35" s="315" t="s">
        <v>25</v>
      </c>
      <c r="E35" s="316" t="s">
        <v>14</v>
      </c>
      <c r="F35" s="317">
        <v>0.1</v>
      </c>
      <c r="G35" s="318">
        <f>G34*F35</f>
        <v>12.92</v>
      </c>
      <c r="H35" s="3"/>
      <c r="I35" s="24"/>
      <c r="J35" s="25">
        <f>H35</f>
        <v>0</v>
      </c>
      <c r="K35" s="25">
        <f>G35*H35</f>
        <v>0</v>
      </c>
      <c r="L35" s="25"/>
      <c r="M35" s="26">
        <f>K35</f>
        <v>0</v>
      </c>
      <c r="O35" s="356"/>
    </row>
    <row r="36" spans="1:15" s="68" customFormat="1" ht="25.5" x14ac:dyDescent="0.25">
      <c r="A36" s="42">
        <f t="shared" si="0"/>
        <v>26</v>
      </c>
      <c r="B36" s="15"/>
      <c r="C36" s="314" t="s">
        <v>104</v>
      </c>
      <c r="D36" s="315" t="s">
        <v>25</v>
      </c>
      <c r="E36" s="316" t="s">
        <v>14</v>
      </c>
      <c r="F36" s="317">
        <v>0.3</v>
      </c>
      <c r="G36" s="318">
        <f>62.9*F36</f>
        <v>18.87</v>
      </c>
      <c r="H36" s="3"/>
      <c r="I36" s="24"/>
      <c r="J36" s="25">
        <f>H36</f>
        <v>0</v>
      </c>
      <c r="K36" s="25">
        <f>G36*H36</f>
        <v>0</v>
      </c>
      <c r="L36" s="25"/>
      <c r="M36" s="26">
        <f>K36</f>
        <v>0</v>
      </c>
      <c r="O36" s="356"/>
    </row>
    <row r="37" spans="1:15" s="68" customFormat="1" ht="25.5" x14ac:dyDescent="0.25">
      <c r="A37" s="42">
        <f t="shared" si="0"/>
        <v>27</v>
      </c>
      <c r="B37" s="15"/>
      <c r="C37" s="314" t="s">
        <v>105</v>
      </c>
      <c r="D37" s="315" t="s">
        <v>25</v>
      </c>
      <c r="E37" s="316" t="s">
        <v>14</v>
      </c>
      <c r="F37" s="317">
        <v>0.3</v>
      </c>
      <c r="G37" s="318">
        <f>21.6*F37</f>
        <v>6.48</v>
      </c>
      <c r="H37" s="3"/>
      <c r="I37" s="24"/>
      <c r="J37" s="25">
        <f>H37</f>
        <v>0</v>
      </c>
      <c r="K37" s="25">
        <f>G37*H37</f>
        <v>0</v>
      </c>
      <c r="L37" s="25"/>
      <c r="M37" s="26">
        <f>K37</f>
        <v>0</v>
      </c>
      <c r="O37" s="356"/>
    </row>
    <row r="38" spans="1:15" s="68" customFormat="1" ht="25.5" x14ac:dyDescent="0.25">
      <c r="A38" s="42">
        <f t="shared" si="0"/>
        <v>28</v>
      </c>
      <c r="B38" s="38"/>
      <c r="C38" s="314" t="s">
        <v>106</v>
      </c>
      <c r="D38" s="315" t="s">
        <v>25</v>
      </c>
      <c r="E38" s="316" t="s">
        <v>14</v>
      </c>
      <c r="F38" s="317">
        <v>0.3</v>
      </c>
      <c r="G38" s="318">
        <f>31.5*F38</f>
        <v>9.4499999999999993</v>
      </c>
      <c r="H38" s="3"/>
      <c r="I38" s="24"/>
      <c r="J38" s="25">
        <f>H38</f>
        <v>0</v>
      </c>
      <c r="K38" s="25">
        <f>G38*H38</f>
        <v>0</v>
      </c>
      <c r="L38" s="25"/>
      <c r="M38" s="26">
        <f>K38</f>
        <v>0</v>
      </c>
      <c r="O38" s="356"/>
    </row>
    <row r="39" spans="1:15" s="68" customFormat="1" ht="51" x14ac:dyDescent="0.25">
      <c r="A39" s="42">
        <f t="shared" si="0"/>
        <v>29</v>
      </c>
      <c r="B39" s="38" t="s">
        <v>126</v>
      </c>
      <c r="C39" s="314" t="s">
        <v>107</v>
      </c>
      <c r="D39" s="315" t="s">
        <v>25</v>
      </c>
      <c r="E39" s="316" t="s">
        <v>14</v>
      </c>
      <c r="F39" s="317">
        <v>0.3</v>
      </c>
      <c r="G39" s="318">
        <f>(13.2+17.5*0.32)*F39</f>
        <v>5.64</v>
      </c>
      <c r="H39" s="3"/>
      <c r="I39" s="24"/>
      <c r="J39" s="25">
        <f>H39</f>
        <v>0</v>
      </c>
      <c r="K39" s="25">
        <f>G39*H39</f>
        <v>0</v>
      </c>
      <c r="L39" s="25"/>
      <c r="M39" s="26">
        <f>K39</f>
        <v>0</v>
      </c>
      <c r="O39" s="356"/>
    </row>
    <row r="40" spans="1:15" s="44" customFormat="1" ht="25.5" customHeight="1" x14ac:dyDescent="0.25">
      <c r="A40" s="256">
        <f>ROW()-10</f>
        <v>30</v>
      </c>
      <c r="B40" s="306" t="s">
        <v>110</v>
      </c>
      <c r="C40" s="307" t="s">
        <v>109</v>
      </c>
      <c r="D40" s="36"/>
      <c r="E40" s="308"/>
      <c r="F40" s="309"/>
      <c r="G40" s="310"/>
      <c r="H40" s="39"/>
      <c r="I40" s="37"/>
      <c r="J40" s="28"/>
      <c r="K40" s="28"/>
      <c r="L40" s="28"/>
      <c r="M40" s="40"/>
      <c r="O40" s="355"/>
    </row>
    <row r="41" spans="1:15" s="23" customFormat="1" ht="12.75" x14ac:dyDescent="0.25">
      <c r="A41" s="43">
        <f t="shared" ref="A41:A65" si="4">ROW()-10</f>
        <v>31</v>
      </c>
      <c r="B41" s="14" t="s">
        <v>110</v>
      </c>
      <c r="C41" s="55" t="s">
        <v>21</v>
      </c>
      <c r="D41" s="5" t="s">
        <v>22</v>
      </c>
      <c r="E41" s="6" t="s">
        <v>8</v>
      </c>
      <c r="F41" s="7">
        <v>1</v>
      </c>
      <c r="G41" s="313">
        <v>315.19</v>
      </c>
      <c r="H41" s="2"/>
      <c r="I41" s="4"/>
      <c r="J41" s="21">
        <f>I41</f>
        <v>0</v>
      </c>
      <c r="K41" s="21"/>
      <c r="L41" s="21">
        <f>G41*I41</f>
        <v>0</v>
      </c>
      <c r="M41" s="22">
        <f>L41</f>
        <v>0</v>
      </c>
      <c r="O41" s="354"/>
    </row>
    <row r="42" spans="1:15" s="68" customFormat="1" ht="25.5" x14ac:dyDescent="0.25">
      <c r="A42" s="42">
        <f t="shared" si="4"/>
        <v>32</v>
      </c>
      <c r="B42" s="15"/>
      <c r="C42" s="326" t="s">
        <v>13</v>
      </c>
      <c r="D42" s="315" t="s">
        <v>25</v>
      </c>
      <c r="E42" s="316" t="s">
        <v>14</v>
      </c>
      <c r="F42" s="317">
        <v>0.1</v>
      </c>
      <c r="G42" s="318">
        <f>G41*F42</f>
        <v>31.52</v>
      </c>
      <c r="H42" s="3"/>
      <c r="I42" s="24"/>
      <c r="J42" s="25">
        <f>H42</f>
        <v>0</v>
      </c>
      <c r="K42" s="25">
        <f>G42*H42</f>
        <v>0</v>
      </c>
      <c r="L42" s="25"/>
      <c r="M42" s="26">
        <f>K42</f>
        <v>0</v>
      </c>
      <c r="O42" s="356"/>
    </row>
    <row r="43" spans="1:15" s="68" customFormat="1" ht="25.5" x14ac:dyDescent="0.25">
      <c r="A43" s="42">
        <f t="shared" si="4"/>
        <v>33</v>
      </c>
      <c r="B43" s="15"/>
      <c r="C43" s="326" t="s">
        <v>52</v>
      </c>
      <c r="D43" s="315" t="s">
        <v>25</v>
      </c>
      <c r="E43" s="316" t="s">
        <v>10</v>
      </c>
      <c r="F43" s="317">
        <v>1.2</v>
      </c>
      <c r="G43" s="318">
        <f>G41*F43</f>
        <v>378.23</v>
      </c>
      <c r="H43" s="3"/>
      <c r="I43" s="24"/>
      <c r="J43" s="25">
        <f>H43</f>
        <v>0</v>
      </c>
      <c r="K43" s="25">
        <f>G43*H43</f>
        <v>0</v>
      </c>
      <c r="L43" s="25"/>
      <c r="M43" s="26">
        <f>K43</f>
        <v>0</v>
      </c>
      <c r="O43" s="356"/>
    </row>
    <row r="44" spans="1:15" s="68" customFormat="1" ht="25.5" x14ac:dyDescent="0.25">
      <c r="A44" s="42">
        <f t="shared" si="4"/>
        <v>34</v>
      </c>
      <c r="B44" s="15"/>
      <c r="C44" s="314" t="s">
        <v>23</v>
      </c>
      <c r="D44" s="315" t="s">
        <v>25</v>
      </c>
      <c r="E44" s="316" t="s">
        <v>10</v>
      </c>
      <c r="F44" s="317">
        <v>1.7</v>
      </c>
      <c r="G44" s="318">
        <f>G41*F44</f>
        <v>535.82000000000005</v>
      </c>
      <c r="H44" s="3"/>
      <c r="I44" s="24"/>
      <c r="J44" s="25">
        <f>H44</f>
        <v>0</v>
      </c>
      <c r="K44" s="25">
        <f>G44*H44</f>
        <v>0</v>
      </c>
      <c r="L44" s="25"/>
      <c r="M44" s="26">
        <f>K44</f>
        <v>0</v>
      </c>
      <c r="O44" s="356"/>
    </row>
    <row r="45" spans="1:15" s="23" customFormat="1" ht="12.75" x14ac:dyDescent="0.25">
      <c r="A45" s="43">
        <f t="shared" si="4"/>
        <v>35</v>
      </c>
      <c r="B45" s="14" t="s">
        <v>110</v>
      </c>
      <c r="C45" s="8" t="s">
        <v>15</v>
      </c>
      <c r="D45" s="5" t="s">
        <v>22</v>
      </c>
      <c r="E45" s="6" t="s">
        <v>8</v>
      </c>
      <c r="F45" s="7">
        <v>1</v>
      </c>
      <c r="G45" s="313">
        <v>128.28</v>
      </c>
      <c r="H45" s="2"/>
      <c r="I45" s="4"/>
      <c r="J45" s="21">
        <f>I45</f>
        <v>0</v>
      </c>
      <c r="K45" s="21"/>
      <c r="L45" s="21">
        <f>G45*I45</f>
        <v>0</v>
      </c>
      <c r="M45" s="22">
        <f>L45</f>
        <v>0</v>
      </c>
      <c r="O45" s="354"/>
    </row>
    <row r="46" spans="1:15" s="68" customFormat="1" ht="25.5" x14ac:dyDescent="0.25">
      <c r="A46" s="42">
        <f t="shared" si="4"/>
        <v>36</v>
      </c>
      <c r="B46" s="15"/>
      <c r="C46" s="314" t="s">
        <v>13</v>
      </c>
      <c r="D46" s="315" t="s">
        <v>25</v>
      </c>
      <c r="E46" s="316" t="s">
        <v>14</v>
      </c>
      <c r="F46" s="317">
        <v>0.1</v>
      </c>
      <c r="G46" s="318">
        <f>G45*F46</f>
        <v>12.83</v>
      </c>
      <c r="H46" s="3"/>
      <c r="I46" s="24"/>
      <c r="J46" s="25">
        <f>H46</f>
        <v>0</v>
      </c>
      <c r="K46" s="25">
        <f>G46*H46</f>
        <v>0</v>
      </c>
      <c r="L46" s="25"/>
      <c r="M46" s="26">
        <f>K46</f>
        <v>0</v>
      </c>
      <c r="O46" s="356"/>
    </row>
    <row r="47" spans="1:15" s="68" customFormat="1" ht="25.5" x14ac:dyDescent="0.25">
      <c r="A47" s="42">
        <f t="shared" si="4"/>
        <v>37</v>
      </c>
      <c r="B47" s="15"/>
      <c r="C47" s="314" t="s">
        <v>104</v>
      </c>
      <c r="D47" s="315" t="s">
        <v>25</v>
      </c>
      <c r="E47" s="316" t="s">
        <v>14</v>
      </c>
      <c r="F47" s="317">
        <v>0.3</v>
      </c>
      <c r="G47" s="318">
        <f>110.47*F47</f>
        <v>33.14</v>
      </c>
      <c r="H47" s="3"/>
      <c r="I47" s="24"/>
      <c r="J47" s="25">
        <f>H47</f>
        <v>0</v>
      </c>
      <c r="K47" s="25">
        <f>G47*H47</f>
        <v>0</v>
      </c>
      <c r="L47" s="25"/>
      <c r="M47" s="26">
        <f>K47</f>
        <v>0</v>
      </c>
      <c r="O47" s="356"/>
    </row>
    <row r="48" spans="1:15" s="68" customFormat="1" ht="25.5" x14ac:dyDescent="0.25">
      <c r="A48" s="42">
        <f t="shared" si="4"/>
        <v>38</v>
      </c>
      <c r="B48" s="15"/>
      <c r="C48" s="314" t="s">
        <v>105</v>
      </c>
      <c r="D48" s="315" t="s">
        <v>25</v>
      </c>
      <c r="E48" s="316" t="s">
        <v>14</v>
      </c>
      <c r="F48" s="317">
        <v>0.3</v>
      </c>
      <c r="G48" s="318">
        <f>17.81*F48</f>
        <v>5.34</v>
      </c>
      <c r="H48" s="3"/>
      <c r="I48" s="24"/>
      <c r="J48" s="25">
        <f>H48</f>
        <v>0</v>
      </c>
      <c r="K48" s="25">
        <f>G48*H48</f>
        <v>0</v>
      </c>
      <c r="L48" s="25"/>
      <c r="M48" s="26">
        <f>K48</f>
        <v>0</v>
      </c>
      <c r="O48" s="356"/>
    </row>
    <row r="49" spans="1:15" s="23" customFormat="1" ht="38.25" x14ac:dyDescent="0.25">
      <c r="A49" s="43">
        <f t="shared" si="4"/>
        <v>39</v>
      </c>
      <c r="B49" s="14" t="s">
        <v>110</v>
      </c>
      <c r="C49" s="8" t="s">
        <v>134</v>
      </c>
      <c r="D49" s="5" t="s">
        <v>22</v>
      </c>
      <c r="E49" s="6" t="s">
        <v>8</v>
      </c>
      <c r="F49" s="7">
        <v>1</v>
      </c>
      <c r="G49" s="313">
        <v>72.790000000000006</v>
      </c>
      <c r="H49" s="2"/>
      <c r="I49" s="4"/>
      <c r="J49" s="21">
        <f>I49</f>
        <v>0</v>
      </c>
      <c r="K49" s="21"/>
      <c r="L49" s="21">
        <f>G49*I49</f>
        <v>0</v>
      </c>
      <c r="M49" s="22">
        <f>L49</f>
        <v>0</v>
      </c>
      <c r="O49" s="354"/>
    </row>
    <row r="50" spans="1:15" s="68" customFormat="1" ht="25.5" x14ac:dyDescent="0.25">
      <c r="A50" s="42">
        <f t="shared" si="4"/>
        <v>40</v>
      </c>
      <c r="B50" s="15"/>
      <c r="C50" s="314" t="s">
        <v>58</v>
      </c>
      <c r="D50" s="315" t="s">
        <v>25</v>
      </c>
      <c r="E50" s="316" t="s">
        <v>8</v>
      </c>
      <c r="F50" s="317">
        <v>1.07</v>
      </c>
      <c r="G50" s="318">
        <f>G49*F50</f>
        <v>77.89</v>
      </c>
      <c r="H50" s="3"/>
      <c r="I50" s="24"/>
      <c r="J50" s="25">
        <f>H50</f>
        <v>0</v>
      </c>
      <c r="K50" s="25">
        <f>G50*H50</f>
        <v>0</v>
      </c>
      <c r="L50" s="25"/>
      <c r="M50" s="26">
        <f>K50</f>
        <v>0</v>
      </c>
      <c r="O50" s="356"/>
    </row>
    <row r="51" spans="1:15" s="68" customFormat="1" ht="25.5" x14ac:dyDescent="0.25">
      <c r="A51" s="42">
        <f t="shared" si="4"/>
        <v>41</v>
      </c>
      <c r="B51" s="15"/>
      <c r="C51" s="314" t="s">
        <v>9</v>
      </c>
      <c r="D51" s="315" t="s">
        <v>25</v>
      </c>
      <c r="E51" s="316" t="s">
        <v>10</v>
      </c>
      <c r="F51" s="317">
        <v>12</v>
      </c>
      <c r="G51" s="318">
        <f>G49*0.3*F51</f>
        <v>262.04000000000002</v>
      </c>
      <c r="H51" s="3"/>
      <c r="I51" s="24"/>
      <c r="J51" s="25">
        <f>H51</f>
        <v>0</v>
      </c>
      <c r="K51" s="25">
        <f>G51*H51</f>
        <v>0</v>
      </c>
      <c r="L51" s="25"/>
      <c r="M51" s="26">
        <f>K51</f>
        <v>0</v>
      </c>
      <c r="O51" s="356"/>
    </row>
    <row r="52" spans="1:15" s="68" customFormat="1" ht="25.5" x14ac:dyDescent="0.25">
      <c r="A52" s="42">
        <f t="shared" si="4"/>
        <v>42</v>
      </c>
      <c r="B52" s="15"/>
      <c r="C52" s="314" t="s">
        <v>11</v>
      </c>
      <c r="D52" s="315" t="s">
        <v>25</v>
      </c>
      <c r="E52" s="316" t="s">
        <v>10</v>
      </c>
      <c r="F52" s="317">
        <v>0.25</v>
      </c>
      <c r="G52" s="318">
        <f>G49*0.3*F52</f>
        <v>5.46</v>
      </c>
      <c r="H52" s="3"/>
      <c r="I52" s="24"/>
      <c r="J52" s="25">
        <f>H52</f>
        <v>0</v>
      </c>
      <c r="K52" s="25">
        <f>G52*H52</f>
        <v>0</v>
      </c>
      <c r="L52" s="25"/>
      <c r="M52" s="26">
        <f>K52</f>
        <v>0</v>
      </c>
      <c r="O52" s="356"/>
    </row>
    <row r="53" spans="1:15" s="68" customFormat="1" ht="25.5" x14ac:dyDescent="0.25">
      <c r="A53" s="42">
        <f t="shared" si="4"/>
        <v>43</v>
      </c>
      <c r="B53" s="15"/>
      <c r="C53" s="314" t="s">
        <v>46</v>
      </c>
      <c r="D53" s="315" t="s">
        <v>25</v>
      </c>
      <c r="E53" s="316" t="s">
        <v>12</v>
      </c>
      <c r="F53" s="317">
        <v>1.1000000000000001</v>
      </c>
      <c r="G53" s="318">
        <f>29.85*F53</f>
        <v>32.840000000000003</v>
      </c>
      <c r="H53" s="3"/>
      <c r="I53" s="24"/>
      <c r="J53" s="25">
        <f>H53</f>
        <v>0</v>
      </c>
      <c r="K53" s="25">
        <f>G53*H53</f>
        <v>0</v>
      </c>
      <c r="L53" s="25"/>
      <c r="M53" s="26">
        <f>K53</f>
        <v>0</v>
      </c>
      <c r="O53" s="356"/>
    </row>
    <row r="54" spans="1:15" s="23" customFormat="1" ht="38.25" x14ac:dyDescent="0.25">
      <c r="A54" s="43">
        <f t="shared" si="4"/>
        <v>44</v>
      </c>
      <c r="B54" s="14" t="s">
        <v>110</v>
      </c>
      <c r="C54" s="8" t="s">
        <v>49</v>
      </c>
      <c r="D54" s="5" t="s">
        <v>22</v>
      </c>
      <c r="E54" s="6" t="s">
        <v>8</v>
      </c>
      <c r="F54" s="7">
        <v>1</v>
      </c>
      <c r="G54" s="313">
        <v>186.91</v>
      </c>
      <c r="H54" s="2"/>
      <c r="I54" s="4"/>
      <c r="J54" s="21">
        <f>I54</f>
        <v>0</v>
      </c>
      <c r="K54" s="21"/>
      <c r="L54" s="21">
        <f>G54*I54</f>
        <v>0</v>
      </c>
      <c r="M54" s="22">
        <f>L54</f>
        <v>0</v>
      </c>
      <c r="O54" s="354"/>
    </row>
    <row r="55" spans="1:15" s="68" customFormat="1" ht="25.5" x14ac:dyDescent="0.25">
      <c r="A55" s="42">
        <f t="shared" si="4"/>
        <v>45</v>
      </c>
      <c r="B55" s="15"/>
      <c r="C55" s="314" t="s">
        <v>131</v>
      </c>
      <c r="D55" s="315" t="s">
        <v>25</v>
      </c>
      <c r="E55" s="316" t="s">
        <v>10</v>
      </c>
      <c r="F55" s="317">
        <v>2.5</v>
      </c>
      <c r="G55" s="318">
        <f>123.91*F55</f>
        <v>309.77999999999997</v>
      </c>
      <c r="H55" s="3"/>
      <c r="I55" s="24"/>
      <c r="J55" s="25">
        <f>H55</f>
        <v>0</v>
      </c>
      <c r="K55" s="25">
        <f>G55*H55</f>
        <v>0</v>
      </c>
      <c r="L55" s="25"/>
      <c r="M55" s="26">
        <f>K55</f>
        <v>0</v>
      </c>
      <c r="O55" s="356"/>
    </row>
    <row r="56" spans="1:15" s="68" customFormat="1" ht="25.5" x14ac:dyDescent="0.25">
      <c r="A56" s="42">
        <f t="shared" si="4"/>
        <v>46</v>
      </c>
      <c r="B56" s="15"/>
      <c r="C56" s="314" t="s">
        <v>132</v>
      </c>
      <c r="D56" s="315" t="s">
        <v>25</v>
      </c>
      <c r="E56" s="316" t="s">
        <v>10</v>
      </c>
      <c r="F56" s="317">
        <v>2.5</v>
      </c>
      <c r="G56" s="318">
        <f>63.01*F56</f>
        <v>157.53</v>
      </c>
      <c r="H56" s="3"/>
      <c r="I56" s="24"/>
      <c r="J56" s="25">
        <f>H56</f>
        <v>0</v>
      </c>
      <c r="K56" s="25">
        <f>G56*H56</f>
        <v>0</v>
      </c>
      <c r="L56" s="25"/>
      <c r="M56" s="26">
        <f>K56</f>
        <v>0</v>
      </c>
      <c r="O56" s="356"/>
    </row>
    <row r="57" spans="1:15" s="23" customFormat="1" ht="12.75" x14ac:dyDescent="0.25">
      <c r="A57" s="43">
        <f t="shared" si="4"/>
        <v>47</v>
      </c>
      <c r="B57" s="14" t="s">
        <v>110</v>
      </c>
      <c r="C57" s="8" t="s">
        <v>50</v>
      </c>
      <c r="D57" s="5" t="s">
        <v>22</v>
      </c>
      <c r="E57" s="6" t="s">
        <v>12</v>
      </c>
      <c r="F57" s="7">
        <v>1</v>
      </c>
      <c r="G57" s="313">
        <v>16.2</v>
      </c>
      <c r="H57" s="2"/>
      <c r="I57" s="4"/>
      <c r="J57" s="21">
        <f>I57</f>
        <v>0</v>
      </c>
      <c r="K57" s="21"/>
      <c r="L57" s="21">
        <f>G57*I57</f>
        <v>0</v>
      </c>
      <c r="M57" s="22">
        <f>L57</f>
        <v>0</v>
      </c>
      <c r="O57" s="354"/>
    </row>
    <row r="58" spans="1:15" s="68" customFormat="1" ht="25.5" x14ac:dyDescent="0.25">
      <c r="A58" s="42">
        <f t="shared" si="4"/>
        <v>48</v>
      </c>
      <c r="B58" s="15"/>
      <c r="C58" s="314" t="s">
        <v>51</v>
      </c>
      <c r="D58" s="315" t="s">
        <v>25</v>
      </c>
      <c r="E58" s="316" t="s">
        <v>12</v>
      </c>
      <c r="F58" s="317">
        <v>1.1000000000000001</v>
      </c>
      <c r="G58" s="318">
        <f>G57*F58</f>
        <v>17.82</v>
      </c>
      <c r="H58" s="3"/>
      <c r="I58" s="24"/>
      <c r="J58" s="25">
        <f>H58</f>
        <v>0</v>
      </c>
      <c r="K58" s="25">
        <f>G58*H58</f>
        <v>0</v>
      </c>
      <c r="L58" s="25"/>
      <c r="M58" s="26">
        <f>K58</f>
        <v>0</v>
      </c>
      <c r="O58" s="356"/>
    </row>
    <row r="59" spans="1:15" s="23" customFormat="1" ht="12.75" x14ac:dyDescent="0.25">
      <c r="A59" s="43">
        <f t="shared" si="4"/>
        <v>49</v>
      </c>
      <c r="B59" s="14" t="s">
        <v>110</v>
      </c>
      <c r="C59" s="8" t="s">
        <v>20</v>
      </c>
      <c r="D59" s="5" t="s">
        <v>22</v>
      </c>
      <c r="E59" s="6" t="s">
        <v>24</v>
      </c>
      <c r="F59" s="7">
        <v>1</v>
      </c>
      <c r="G59" s="313">
        <v>31.13</v>
      </c>
      <c r="H59" s="2"/>
      <c r="I59" s="4"/>
      <c r="J59" s="21">
        <f>I59</f>
        <v>0</v>
      </c>
      <c r="K59" s="21"/>
      <c r="L59" s="21">
        <f>G59*I59</f>
        <v>0</v>
      </c>
      <c r="M59" s="22">
        <f>L59</f>
        <v>0</v>
      </c>
      <c r="O59" s="354"/>
    </row>
    <row r="60" spans="1:15" s="68" customFormat="1" ht="25.5" x14ac:dyDescent="0.25">
      <c r="A60" s="42">
        <f t="shared" si="4"/>
        <v>50</v>
      </c>
      <c r="B60" s="327"/>
      <c r="C60" s="314" t="s">
        <v>32</v>
      </c>
      <c r="D60" s="315" t="s">
        <v>25</v>
      </c>
      <c r="E60" s="328" t="s">
        <v>10</v>
      </c>
      <c r="F60" s="329">
        <v>0.05</v>
      </c>
      <c r="G60" s="318">
        <f>G59*0.2*F60</f>
        <v>0.31</v>
      </c>
      <c r="H60" s="3"/>
      <c r="I60" s="69"/>
      <c r="J60" s="25">
        <f t="shared" ref="J60:J65" si="5">H60</f>
        <v>0</v>
      </c>
      <c r="K60" s="25">
        <f t="shared" ref="K60:K65" si="6">G60*H60</f>
        <v>0</v>
      </c>
      <c r="L60" s="25"/>
      <c r="M60" s="26">
        <f t="shared" ref="M60:M65" si="7">K60</f>
        <v>0</v>
      </c>
      <c r="O60" s="356"/>
    </row>
    <row r="61" spans="1:15" s="68" customFormat="1" ht="25.5" x14ac:dyDescent="0.25">
      <c r="A61" s="42">
        <f t="shared" si="4"/>
        <v>51</v>
      </c>
      <c r="B61" s="327"/>
      <c r="C61" s="314" t="s">
        <v>33</v>
      </c>
      <c r="D61" s="315" t="s">
        <v>25</v>
      </c>
      <c r="E61" s="328" t="s">
        <v>10</v>
      </c>
      <c r="F61" s="329">
        <v>10</v>
      </c>
      <c r="G61" s="318">
        <f>G59*0.2*F61</f>
        <v>62.26</v>
      </c>
      <c r="H61" s="3"/>
      <c r="I61" s="69"/>
      <c r="J61" s="25">
        <f t="shared" si="5"/>
        <v>0</v>
      </c>
      <c r="K61" s="25">
        <f t="shared" si="6"/>
        <v>0</v>
      </c>
      <c r="L61" s="25"/>
      <c r="M61" s="26">
        <f t="shared" si="7"/>
        <v>0</v>
      </c>
      <c r="O61" s="356"/>
    </row>
    <row r="62" spans="1:15" s="68" customFormat="1" ht="25.5" x14ac:dyDescent="0.25">
      <c r="A62" s="42">
        <f t="shared" si="4"/>
        <v>52</v>
      </c>
      <c r="B62" s="15"/>
      <c r="C62" s="314" t="s">
        <v>13</v>
      </c>
      <c r="D62" s="315" t="s">
        <v>25</v>
      </c>
      <c r="E62" s="316" t="s">
        <v>14</v>
      </c>
      <c r="F62" s="317">
        <v>0.1</v>
      </c>
      <c r="G62" s="318">
        <f>G59*0.2*F62</f>
        <v>0.62</v>
      </c>
      <c r="H62" s="3"/>
      <c r="I62" s="24"/>
      <c r="J62" s="25">
        <f t="shared" si="5"/>
        <v>0</v>
      </c>
      <c r="K62" s="25">
        <f t="shared" si="6"/>
        <v>0</v>
      </c>
      <c r="L62" s="25"/>
      <c r="M62" s="26">
        <f t="shared" si="7"/>
        <v>0</v>
      </c>
      <c r="O62" s="356"/>
    </row>
    <row r="63" spans="1:15" s="68" customFormat="1" ht="25.5" x14ac:dyDescent="0.25">
      <c r="A63" s="42">
        <f t="shared" si="4"/>
        <v>53</v>
      </c>
      <c r="B63" s="327"/>
      <c r="C63" s="314" t="s">
        <v>23</v>
      </c>
      <c r="D63" s="330" t="s">
        <v>25</v>
      </c>
      <c r="E63" s="328" t="s">
        <v>10</v>
      </c>
      <c r="F63" s="329">
        <v>1.7</v>
      </c>
      <c r="G63" s="318">
        <f>G59*0.2*F63</f>
        <v>10.58</v>
      </c>
      <c r="H63" s="3"/>
      <c r="I63" s="69"/>
      <c r="J63" s="25">
        <f t="shared" si="5"/>
        <v>0</v>
      </c>
      <c r="K63" s="25">
        <f t="shared" si="6"/>
        <v>0</v>
      </c>
      <c r="L63" s="25"/>
      <c r="M63" s="26">
        <f t="shared" si="7"/>
        <v>0</v>
      </c>
      <c r="O63" s="356"/>
    </row>
    <row r="64" spans="1:15" s="68" customFormat="1" ht="25.5" x14ac:dyDescent="0.25">
      <c r="A64" s="42">
        <f t="shared" si="4"/>
        <v>54</v>
      </c>
      <c r="B64" s="15"/>
      <c r="C64" s="314" t="s">
        <v>104</v>
      </c>
      <c r="D64" s="315" t="s">
        <v>25</v>
      </c>
      <c r="E64" s="316" t="s">
        <v>14</v>
      </c>
      <c r="F64" s="317">
        <v>0.3</v>
      </c>
      <c r="G64" s="318">
        <f>10.2*0.2*F64</f>
        <v>0.61</v>
      </c>
      <c r="H64" s="3"/>
      <c r="I64" s="69"/>
      <c r="J64" s="25">
        <f t="shared" si="5"/>
        <v>0</v>
      </c>
      <c r="K64" s="25">
        <f t="shared" si="6"/>
        <v>0</v>
      </c>
      <c r="L64" s="25"/>
      <c r="M64" s="26">
        <f t="shared" si="7"/>
        <v>0</v>
      </c>
      <c r="O64" s="356"/>
    </row>
    <row r="65" spans="1:16" s="68" customFormat="1" ht="25.5" x14ac:dyDescent="0.25">
      <c r="A65" s="42">
        <f t="shared" si="4"/>
        <v>55</v>
      </c>
      <c r="B65" s="15"/>
      <c r="C65" s="314" t="s">
        <v>131</v>
      </c>
      <c r="D65" s="315" t="s">
        <v>25</v>
      </c>
      <c r="E65" s="316" t="s">
        <v>10</v>
      </c>
      <c r="F65" s="317">
        <v>2.5</v>
      </c>
      <c r="G65" s="318">
        <f>20.93*0.2*F65</f>
        <v>10.47</v>
      </c>
      <c r="H65" s="3"/>
      <c r="I65" s="69"/>
      <c r="J65" s="25">
        <f t="shared" si="5"/>
        <v>0</v>
      </c>
      <c r="K65" s="25">
        <f t="shared" si="6"/>
        <v>0</v>
      </c>
      <c r="L65" s="25"/>
      <c r="M65" s="26">
        <f t="shared" si="7"/>
        <v>0</v>
      </c>
      <c r="O65" s="356"/>
    </row>
    <row r="66" spans="1:16" s="44" customFormat="1" ht="25.5" customHeight="1" x14ac:dyDescent="0.25">
      <c r="A66" s="305">
        <f>ROW()-10</f>
        <v>56</v>
      </c>
      <c r="B66" s="306" t="s">
        <v>113</v>
      </c>
      <c r="C66" s="307" t="s">
        <v>112</v>
      </c>
      <c r="D66" s="36"/>
      <c r="E66" s="308"/>
      <c r="F66" s="309"/>
      <c r="G66" s="310"/>
      <c r="H66" s="39"/>
      <c r="I66" s="37"/>
      <c r="J66" s="28"/>
      <c r="K66" s="28"/>
      <c r="L66" s="28"/>
      <c r="M66" s="40"/>
      <c r="N66" s="23"/>
      <c r="O66" s="354"/>
      <c r="P66" s="23"/>
    </row>
    <row r="67" spans="1:16" s="23" customFormat="1" ht="12.75" x14ac:dyDescent="0.25">
      <c r="A67" s="43">
        <f t="shared" ref="A67:A97" si="8">ROW()-10</f>
        <v>57</v>
      </c>
      <c r="B67" s="14" t="s">
        <v>113</v>
      </c>
      <c r="C67" s="8" t="s">
        <v>16</v>
      </c>
      <c r="D67" s="5" t="s">
        <v>22</v>
      </c>
      <c r="E67" s="6" t="s">
        <v>8</v>
      </c>
      <c r="F67" s="7">
        <v>1</v>
      </c>
      <c r="G67" s="313">
        <v>104.4</v>
      </c>
      <c r="H67" s="2"/>
      <c r="I67" s="4"/>
      <c r="J67" s="21">
        <f>I67</f>
        <v>0</v>
      </c>
      <c r="K67" s="21"/>
      <c r="L67" s="21">
        <f>G67*I67</f>
        <v>0</v>
      </c>
      <c r="M67" s="22">
        <f>L67</f>
        <v>0</v>
      </c>
      <c r="N67" s="44"/>
      <c r="O67" s="355"/>
      <c r="P67" s="44"/>
    </row>
    <row r="68" spans="1:16" s="68" customFormat="1" ht="25.5" x14ac:dyDescent="0.25">
      <c r="A68" s="41">
        <f t="shared" si="8"/>
        <v>58</v>
      </c>
      <c r="B68" s="38" t="s">
        <v>59</v>
      </c>
      <c r="C68" s="314" t="s">
        <v>58</v>
      </c>
      <c r="D68" s="315" t="s">
        <v>25</v>
      </c>
      <c r="E68" s="316" t="s">
        <v>8</v>
      </c>
      <c r="F68" s="317">
        <v>1.07</v>
      </c>
      <c r="G68" s="318">
        <f>G67*F68</f>
        <v>111.71</v>
      </c>
      <c r="H68" s="3"/>
      <c r="I68" s="24"/>
      <c r="J68" s="25">
        <f>H68</f>
        <v>0</v>
      </c>
      <c r="K68" s="25">
        <f>G68*H68</f>
        <v>0</v>
      </c>
      <c r="L68" s="25"/>
      <c r="M68" s="26">
        <f>K68</f>
        <v>0</v>
      </c>
      <c r="O68" s="356"/>
    </row>
    <row r="69" spans="1:16" s="68" customFormat="1" ht="25.5" x14ac:dyDescent="0.25">
      <c r="A69" s="42">
        <f t="shared" si="8"/>
        <v>59</v>
      </c>
      <c r="B69" s="15"/>
      <c r="C69" s="314" t="s">
        <v>9</v>
      </c>
      <c r="D69" s="315" t="s">
        <v>25</v>
      </c>
      <c r="E69" s="316" t="s">
        <v>10</v>
      </c>
      <c r="F69" s="317">
        <v>12</v>
      </c>
      <c r="G69" s="318">
        <f>G67*F69</f>
        <v>1252.8</v>
      </c>
      <c r="H69" s="3"/>
      <c r="I69" s="24"/>
      <c r="J69" s="25">
        <f>H69</f>
        <v>0</v>
      </c>
      <c r="K69" s="25">
        <f>G69*H69</f>
        <v>0</v>
      </c>
      <c r="L69" s="25"/>
      <c r="M69" s="26">
        <f>K69</f>
        <v>0</v>
      </c>
      <c r="O69" s="356"/>
    </row>
    <row r="70" spans="1:16" s="68" customFormat="1" ht="25.5" x14ac:dyDescent="0.25">
      <c r="A70" s="42">
        <f t="shared" si="8"/>
        <v>60</v>
      </c>
      <c r="B70" s="15"/>
      <c r="C70" s="314" t="s">
        <v>11</v>
      </c>
      <c r="D70" s="315" t="s">
        <v>25</v>
      </c>
      <c r="E70" s="316" t="s">
        <v>10</v>
      </c>
      <c r="F70" s="317">
        <v>0.25</v>
      </c>
      <c r="G70" s="318">
        <f>G67*F70</f>
        <v>26.1</v>
      </c>
      <c r="H70" s="3"/>
      <c r="I70" s="24"/>
      <c r="J70" s="25">
        <f>H70</f>
        <v>0</v>
      </c>
      <c r="K70" s="25">
        <f>G70*H70</f>
        <v>0</v>
      </c>
      <c r="L70" s="25"/>
      <c r="M70" s="26">
        <f>K70</f>
        <v>0</v>
      </c>
      <c r="O70" s="356"/>
    </row>
    <row r="71" spans="1:16" s="23" customFormat="1" ht="25.5" x14ac:dyDescent="0.25">
      <c r="A71" s="43">
        <f t="shared" si="8"/>
        <v>61</v>
      </c>
      <c r="B71" s="14" t="s">
        <v>113</v>
      </c>
      <c r="C71" s="8" t="s">
        <v>45</v>
      </c>
      <c r="D71" s="5" t="s">
        <v>22</v>
      </c>
      <c r="E71" s="6" t="s">
        <v>12</v>
      </c>
      <c r="F71" s="7">
        <v>1</v>
      </c>
      <c r="G71" s="313">
        <v>65.5</v>
      </c>
      <c r="H71" s="2"/>
      <c r="I71" s="4"/>
      <c r="J71" s="21">
        <f>I71</f>
        <v>0</v>
      </c>
      <c r="K71" s="21"/>
      <c r="L71" s="21">
        <f>G71*I71</f>
        <v>0</v>
      </c>
      <c r="M71" s="22">
        <f>L71</f>
        <v>0</v>
      </c>
      <c r="O71" s="354"/>
    </row>
    <row r="72" spans="1:16" s="68" customFormat="1" ht="25.5" x14ac:dyDescent="0.25">
      <c r="A72" s="42">
        <f t="shared" si="8"/>
        <v>62</v>
      </c>
      <c r="B72" s="15" t="s">
        <v>61</v>
      </c>
      <c r="C72" s="314" t="s">
        <v>60</v>
      </c>
      <c r="D72" s="315" t="s">
        <v>25</v>
      </c>
      <c r="E72" s="316" t="s">
        <v>8</v>
      </c>
      <c r="F72" s="317">
        <v>1.07</v>
      </c>
      <c r="G72" s="318">
        <f>G71*0.3*F72</f>
        <v>21.03</v>
      </c>
      <c r="H72" s="3"/>
      <c r="I72" s="24"/>
      <c r="J72" s="25">
        <f>H72</f>
        <v>0</v>
      </c>
      <c r="K72" s="25">
        <f>G72*H72</f>
        <v>0</v>
      </c>
      <c r="L72" s="25"/>
      <c r="M72" s="26">
        <f>K72</f>
        <v>0</v>
      </c>
      <c r="O72" s="356"/>
    </row>
    <row r="73" spans="1:16" s="68" customFormat="1" ht="25.5" x14ac:dyDescent="0.25">
      <c r="A73" s="42">
        <f t="shared" si="8"/>
        <v>63</v>
      </c>
      <c r="B73" s="15"/>
      <c r="C73" s="314" t="s">
        <v>9</v>
      </c>
      <c r="D73" s="315" t="s">
        <v>25</v>
      </c>
      <c r="E73" s="316" t="s">
        <v>10</v>
      </c>
      <c r="F73" s="317">
        <v>12</v>
      </c>
      <c r="G73" s="318">
        <f>G71*0.3*F73</f>
        <v>235.8</v>
      </c>
      <c r="H73" s="3"/>
      <c r="I73" s="24"/>
      <c r="J73" s="25">
        <f>H73</f>
        <v>0</v>
      </c>
      <c r="K73" s="25">
        <f>G73*H73</f>
        <v>0</v>
      </c>
      <c r="L73" s="25"/>
      <c r="M73" s="26">
        <f>K73</f>
        <v>0</v>
      </c>
      <c r="O73" s="356"/>
    </row>
    <row r="74" spans="1:16" s="68" customFormat="1" ht="25.5" x14ac:dyDescent="0.25">
      <c r="A74" s="42">
        <f t="shared" si="8"/>
        <v>64</v>
      </c>
      <c r="B74" s="15"/>
      <c r="C74" s="314" t="s">
        <v>11</v>
      </c>
      <c r="D74" s="315" t="s">
        <v>25</v>
      </c>
      <c r="E74" s="316" t="s">
        <v>10</v>
      </c>
      <c r="F74" s="317">
        <v>0.25</v>
      </c>
      <c r="G74" s="318">
        <f>G71*0.3*F74</f>
        <v>4.91</v>
      </c>
      <c r="H74" s="3"/>
      <c r="I74" s="24"/>
      <c r="J74" s="25">
        <f>H74</f>
        <v>0</v>
      </c>
      <c r="K74" s="25">
        <f>G74*H74</f>
        <v>0</v>
      </c>
      <c r="L74" s="25"/>
      <c r="M74" s="26">
        <f>K74</f>
        <v>0</v>
      </c>
      <c r="O74" s="356"/>
    </row>
    <row r="75" spans="1:16" s="68" customFormat="1" ht="25.5" x14ac:dyDescent="0.25">
      <c r="A75" s="42">
        <f t="shared" si="8"/>
        <v>65</v>
      </c>
      <c r="B75" s="15"/>
      <c r="C75" s="314" t="s">
        <v>46</v>
      </c>
      <c r="D75" s="315" t="s">
        <v>25</v>
      </c>
      <c r="E75" s="316" t="s">
        <v>12</v>
      </c>
      <c r="F75" s="317">
        <v>1.1000000000000001</v>
      </c>
      <c r="G75" s="318">
        <f>G71*F75</f>
        <v>72.05</v>
      </c>
      <c r="H75" s="3"/>
      <c r="I75" s="24"/>
      <c r="J75" s="25">
        <f>H75</f>
        <v>0</v>
      </c>
      <c r="K75" s="25">
        <f>G75*H75</f>
        <v>0</v>
      </c>
      <c r="L75" s="25"/>
      <c r="M75" s="26">
        <f>K75</f>
        <v>0</v>
      </c>
      <c r="O75" s="356"/>
    </row>
    <row r="76" spans="1:16" s="23" customFormat="1" ht="25.5" x14ac:dyDescent="0.25">
      <c r="A76" s="43">
        <f t="shared" si="8"/>
        <v>66</v>
      </c>
      <c r="B76" s="14" t="s">
        <v>113</v>
      </c>
      <c r="C76" s="8" t="s">
        <v>114</v>
      </c>
      <c r="D76" s="5" t="s">
        <v>22</v>
      </c>
      <c r="E76" s="6" t="s">
        <v>8</v>
      </c>
      <c r="F76" s="7">
        <v>1</v>
      </c>
      <c r="G76" s="313">
        <f>11.4+2.8</f>
        <v>14.2</v>
      </c>
      <c r="H76" s="2"/>
      <c r="I76" s="4"/>
      <c r="J76" s="21">
        <f>I76</f>
        <v>0</v>
      </c>
      <c r="K76" s="21"/>
      <c r="L76" s="21">
        <f>G76*I76</f>
        <v>0</v>
      </c>
      <c r="M76" s="22">
        <f>L76</f>
        <v>0</v>
      </c>
      <c r="O76" s="354"/>
    </row>
    <row r="77" spans="1:16" s="68" customFormat="1" ht="25.5" x14ac:dyDescent="0.25">
      <c r="A77" s="41">
        <f t="shared" si="8"/>
        <v>67</v>
      </c>
      <c r="B77" s="38" t="s">
        <v>64</v>
      </c>
      <c r="C77" s="314" t="s">
        <v>63</v>
      </c>
      <c r="D77" s="315" t="s">
        <v>25</v>
      </c>
      <c r="E77" s="316" t="s">
        <v>8</v>
      </c>
      <c r="F77" s="317">
        <v>1.07</v>
      </c>
      <c r="G77" s="318">
        <f>G76*F77</f>
        <v>15.19</v>
      </c>
      <c r="H77" s="3"/>
      <c r="I77" s="24"/>
      <c r="J77" s="25">
        <f>H77</f>
        <v>0</v>
      </c>
      <c r="K77" s="25">
        <f>G77*H77</f>
        <v>0</v>
      </c>
      <c r="L77" s="25"/>
      <c r="M77" s="26">
        <f>K77</f>
        <v>0</v>
      </c>
      <c r="O77" s="356"/>
    </row>
    <row r="78" spans="1:16" s="68" customFormat="1" ht="25.5" x14ac:dyDescent="0.25">
      <c r="A78" s="42">
        <f t="shared" si="8"/>
        <v>68</v>
      </c>
      <c r="B78" s="15"/>
      <c r="C78" s="314" t="s">
        <v>9</v>
      </c>
      <c r="D78" s="315" t="s">
        <v>25</v>
      </c>
      <c r="E78" s="316" t="s">
        <v>10</v>
      </c>
      <c r="F78" s="317">
        <v>12</v>
      </c>
      <c r="G78" s="318">
        <f>G76*F78</f>
        <v>170.4</v>
      </c>
      <c r="H78" s="3"/>
      <c r="I78" s="24"/>
      <c r="J78" s="25">
        <f>H78</f>
        <v>0</v>
      </c>
      <c r="K78" s="25">
        <f>G78*H78</f>
        <v>0</v>
      </c>
      <c r="L78" s="25"/>
      <c r="M78" s="26">
        <f>K78</f>
        <v>0</v>
      </c>
      <c r="O78" s="356"/>
    </row>
    <row r="79" spans="1:16" s="68" customFormat="1" ht="25.5" x14ac:dyDescent="0.25">
      <c r="A79" s="42">
        <f t="shared" si="8"/>
        <v>69</v>
      </c>
      <c r="B79" s="15"/>
      <c r="C79" s="314" t="s">
        <v>11</v>
      </c>
      <c r="D79" s="315" t="s">
        <v>25</v>
      </c>
      <c r="E79" s="316" t="s">
        <v>10</v>
      </c>
      <c r="F79" s="317">
        <v>0.25</v>
      </c>
      <c r="G79" s="318">
        <f>G76*F79</f>
        <v>3.55</v>
      </c>
      <c r="H79" s="3"/>
      <c r="I79" s="24"/>
      <c r="J79" s="25">
        <f>H79</f>
        <v>0</v>
      </c>
      <c r="K79" s="25">
        <f>G79*H79</f>
        <v>0</v>
      </c>
      <c r="L79" s="25"/>
      <c r="M79" s="26">
        <f>K79</f>
        <v>0</v>
      </c>
      <c r="O79" s="356"/>
    </row>
    <row r="80" spans="1:16" s="23" customFormat="1" ht="25.5" x14ac:dyDescent="0.25">
      <c r="A80" s="43">
        <f t="shared" si="8"/>
        <v>70</v>
      </c>
      <c r="B80" s="14" t="s">
        <v>113</v>
      </c>
      <c r="C80" s="8" t="s">
        <v>116</v>
      </c>
      <c r="D80" s="5" t="s">
        <v>22</v>
      </c>
      <c r="E80" s="6" t="s">
        <v>8</v>
      </c>
      <c r="F80" s="7">
        <v>1</v>
      </c>
      <c r="G80" s="313">
        <f>7.3+7.26</f>
        <v>14.56</v>
      </c>
      <c r="H80" s="2"/>
      <c r="I80" s="4"/>
      <c r="J80" s="21">
        <f>I80</f>
        <v>0</v>
      </c>
      <c r="K80" s="21"/>
      <c r="L80" s="21">
        <f>G80*I80</f>
        <v>0</v>
      </c>
      <c r="M80" s="22">
        <f>L80</f>
        <v>0</v>
      </c>
      <c r="O80" s="354"/>
    </row>
    <row r="81" spans="1:15" s="68" customFormat="1" ht="25.5" x14ac:dyDescent="0.25">
      <c r="A81" s="42">
        <f t="shared" si="8"/>
        <v>71</v>
      </c>
      <c r="B81" s="38" t="s">
        <v>68</v>
      </c>
      <c r="C81" s="314" t="s">
        <v>67</v>
      </c>
      <c r="D81" s="315" t="s">
        <v>25</v>
      </c>
      <c r="E81" s="316" t="s">
        <v>8</v>
      </c>
      <c r="F81" s="317">
        <v>1.07</v>
      </c>
      <c r="G81" s="318">
        <f>G80*F81</f>
        <v>15.58</v>
      </c>
      <c r="H81" s="3"/>
      <c r="I81" s="24"/>
      <c r="J81" s="25">
        <f>H81</f>
        <v>0</v>
      </c>
      <c r="K81" s="25">
        <f>G81*H81</f>
        <v>0</v>
      </c>
      <c r="L81" s="25"/>
      <c r="M81" s="26">
        <f>K81</f>
        <v>0</v>
      </c>
      <c r="O81" s="356"/>
    </row>
    <row r="82" spans="1:15" s="68" customFormat="1" ht="25.5" x14ac:dyDescent="0.25">
      <c r="A82" s="42">
        <f t="shared" si="8"/>
        <v>72</v>
      </c>
      <c r="B82" s="15"/>
      <c r="C82" s="314" t="s">
        <v>9</v>
      </c>
      <c r="D82" s="315" t="s">
        <v>25</v>
      </c>
      <c r="E82" s="316" t="s">
        <v>10</v>
      </c>
      <c r="F82" s="317">
        <v>12</v>
      </c>
      <c r="G82" s="318">
        <f>G80*F82</f>
        <v>174.72</v>
      </c>
      <c r="H82" s="3"/>
      <c r="I82" s="24"/>
      <c r="J82" s="25">
        <f>H82</f>
        <v>0</v>
      </c>
      <c r="K82" s="25">
        <f>G82*H82</f>
        <v>0</v>
      </c>
      <c r="L82" s="25"/>
      <c r="M82" s="26">
        <f>K82</f>
        <v>0</v>
      </c>
      <c r="O82" s="356"/>
    </row>
    <row r="83" spans="1:15" s="68" customFormat="1" ht="25.5" x14ac:dyDescent="0.25">
      <c r="A83" s="42">
        <f t="shared" si="8"/>
        <v>73</v>
      </c>
      <c r="B83" s="15"/>
      <c r="C83" s="314" t="s">
        <v>11</v>
      </c>
      <c r="D83" s="315" t="s">
        <v>25</v>
      </c>
      <c r="E83" s="316" t="s">
        <v>10</v>
      </c>
      <c r="F83" s="317">
        <v>0.25</v>
      </c>
      <c r="G83" s="318">
        <f>G80*F83</f>
        <v>3.64</v>
      </c>
      <c r="H83" s="3"/>
      <c r="I83" s="24"/>
      <c r="J83" s="25">
        <f>H83</f>
        <v>0</v>
      </c>
      <c r="K83" s="25">
        <f>G83*H83</f>
        <v>0</v>
      </c>
      <c r="L83" s="25"/>
      <c r="M83" s="26">
        <f>K83</f>
        <v>0</v>
      </c>
      <c r="O83" s="356"/>
    </row>
    <row r="84" spans="1:15" s="23" customFormat="1" ht="25.5" x14ac:dyDescent="0.25">
      <c r="A84" s="43">
        <f t="shared" si="8"/>
        <v>74</v>
      </c>
      <c r="B84" s="14" t="s">
        <v>113</v>
      </c>
      <c r="C84" s="8" t="s">
        <v>115</v>
      </c>
      <c r="D84" s="5" t="s">
        <v>22</v>
      </c>
      <c r="E84" s="6" t="s">
        <v>8</v>
      </c>
      <c r="F84" s="7">
        <v>1</v>
      </c>
      <c r="G84" s="313">
        <f>4+3.96</f>
        <v>7.96</v>
      </c>
      <c r="H84" s="2"/>
      <c r="I84" s="4"/>
      <c r="J84" s="21">
        <f>I84</f>
        <v>0</v>
      </c>
      <c r="K84" s="21"/>
      <c r="L84" s="21">
        <f>G84*I84</f>
        <v>0</v>
      </c>
      <c r="M84" s="22">
        <f>L84</f>
        <v>0</v>
      </c>
      <c r="O84" s="354"/>
    </row>
    <row r="85" spans="1:15" s="68" customFormat="1" ht="25.5" x14ac:dyDescent="0.25">
      <c r="A85" s="42">
        <f t="shared" si="8"/>
        <v>75</v>
      </c>
      <c r="B85" s="38" t="s">
        <v>69</v>
      </c>
      <c r="C85" s="314" t="s">
        <v>67</v>
      </c>
      <c r="D85" s="315" t="s">
        <v>25</v>
      </c>
      <c r="E85" s="316" t="s">
        <v>8</v>
      </c>
      <c r="F85" s="317">
        <v>1.07</v>
      </c>
      <c r="G85" s="318">
        <f>G84*F85</f>
        <v>8.52</v>
      </c>
      <c r="H85" s="3"/>
      <c r="I85" s="24"/>
      <c r="J85" s="25">
        <f>H85</f>
        <v>0</v>
      </c>
      <c r="K85" s="25">
        <f>G85*H85</f>
        <v>0</v>
      </c>
      <c r="L85" s="25"/>
      <c r="M85" s="26">
        <f>K85</f>
        <v>0</v>
      </c>
      <c r="O85" s="356"/>
    </row>
    <row r="86" spans="1:15" s="68" customFormat="1" ht="25.5" x14ac:dyDescent="0.25">
      <c r="A86" s="42">
        <f t="shared" si="8"/>
        <v>76</v>
      </c>
      <c r="B86" s="15"/>
      <c r="C86" s="314" t="s">
        <v>9</v>
      </c>
      <c r="D86" s="315" t="s">
        <v>25</v>
      </c>
      <c r="E86" s="316" t="s">
        <v>10</v>
      </c>
      <c r="F86" s="317">
        <v>12</v>
      </c>
      <c r="G86" s="318">
        <f>G84*F86</f>
        <v>95.52</v>
      </c>
      <c r="H86" s="3"/>
      <c r="I86" s="24"/>
      <c r="J86" s="25">
        <f>H86</f>
        <v>0</v>
      </c>
      <c r="K86" s="25">
        <f>G86*H86</f>
        <v>0</v>
      </c>
      <c r="L86" s="25"/>
      <c r="M86" s="26">
        <f>K86</f>
        <v>0</v>
      </c>
      <c r="O86" s="356"/>
    </row>
    <row r="87" spans="1:15" s="68" customFormat="1" ht="25.5" x14ac:dyDescent="0.25">
      <c r="A87" s="42">
        <f t="shared" si="8"/>
        <v>77</v>
      </c>
      <c r="B87" s="15"/>
      <c r="C87" s="314" t="s">
        <v>11</v>
      </c>
      <c r="D87" s="315" t="s">
        <v>25</v>
      </c>
      <c r="E87" s="316" t="s">
        <v>10</v>
      </c>
      <c r="F87" s="317">
        <v>0.25</v>
      </c>
      <c r="G87" s="318">
        <f>G84*F87</f>
        <v>1.99</v>
      </c>
      <c r="H87" s="3"/>
      <c r="I87" s="24"/>
      <c r="J87" s="25">
        <f>H87</f>
        <v>0</v>
      </c>
      <c r="K87" s="25">
        <f>G87*H87</f>
        <v>0</v>
      </c>
      <c r="L87" s="25"/>
      <c r="M87" s="26">
        <f>K87</f>
        <v>0</v>
      </c>
      <c r="O87" s="356"/>
    </row>
    <row r="88" spans="1:15" s="23" customFormat="1" ht="25.5" x14ac:dyDescent="0.25">
      <c r="A88" s="43">
        <f t="shared" si="8"/>
        <v>78</v>
      </c>
      <c r="B88" s="14" t="s">
        <v>113</v>
      </c>
      <c r="C88" s="8" t="s">
        <v>17</v>
      </c>
      <c r="D88" s="5" t="s">
        <v>22</v>
      </c>
      <c r="E88" s="6" t="s">
        <v>12</v>
      </c>
      <c r="F88" s="7">
        <v>1</v>
      </c>
      <c r="G88" s="313">
        <v>24.2</v>
      </c>
      <c r="H88" s="2"/>
      <c r="I88" s="4"/>
      <c r="J88" s="21">
        <f>I88</f>
        <v>0</v>
      </c>
      <c r="K88" s="21"/>
      <c r="L88" s="21">
        <f>G88*I88</f>
        <v>0</v>
      </c>
      <c r="M88" s="22">
        <f>L88</f>
        <v>0</v>
      </c>
      <c r="O88" s="354"/>
    </row>
    <row r="89" spans="1:15" s="68" customFormat="1" ht="25.5" x14ac:dyDescent="0.25">
      <c r="A89" s="42">
        <f t="shared" si="8"/>
        <v>79</v>
      </c>
      <c r="B89" s="15" t="s">
        <v>65</v>
      </c>
      <c r="C89" s="314" t="s">
        <v>66</v>
      </c>
      <c r="D89" s="315" t="s">
        <v>25</v>
      </c>
      <c r="E89" s="316" t="s">
        <v>8</v>
      </c>
      <c r="F89" s="317">
        <v>1.07</v>
      </c>
      <c r="G89" s="318">
        <f>G88*0.1*F89</f>
        <v>2.59</v>
      </c>
      <c r="H89" s="3"/>
      <c r="I89" s="24"/>
      <c r="J89" s="25">
        <f>H89</f>
        <v>0</v>
      </c>
      <c r="K89" s="25">
        <f>G89*H89</f>
        <v>0</v>
      </c>
      <c r="L89" s="25"/>
      <c r="M89" s="26">
        <f>K89</f>
        <v>0</v>
      </c>
      <c r="O89" s="356"/>
    </row>
    <row r="90" spans="1:15" s="68" customFormat="1" ht="25.5" x14ac:dyDescent="0.25">
      <c r="A90" s="42">
        <f t="shared" si="8"/>
        <v>80</v>
      </c>
      <c r="B90" s="15"/>
      <c r="C90" s="314" t="s">
        <v>9</v>
      </c>
      <c r="D90" s="315" t="s">
        <v>25</v>
      </c>
      <c r="E90" s="316" t="s">
        <v>10</v>
      </c>
      <c r="F90" s="317">
        <v>12</v>
      </c>
      <c r="G90" s="318">
        <f>G88*0.1*F90</f>
        <v>29.04</v>
      </c>
      <c r="H90" s="3"/>
      <c r="I90" s="24"/>
      <c r="J90" s="25">
        <f>H90</f>
        <v>0</v>
      </c>
      <c r="K90" s="25">
        <f>G90*H90</f>
        <v>0</v>
      </c>
      <c r="L90" s="25"/>
      <c r="M90" s="26">
        <f>K90</f>
        <v>0</v>
      </c>
      <c r="O90" s="356"/>
    </row>
    <row r="91" spans="1:15" s="68" customFormat="1" ht="25.5" x14ac:dyDescent="0.25">
      <c r="A91" s="42">
        <f t="shared" si="8"/>
        <v>81</v>
      </c>
      <c r="B91" s="15"/>
      <c r="C91" s="314" t="s">
        <v>11</v>
      </c>
      <c r="D91" s="315" t="s">
        <v>25</v>
      </c>
      <c r="E91" s="316" t="s">
        <v>10</v>
      </c>
      <c r="F91" s="317">
        <v>0.25</v>
      </c>
      <c r="G91" s="318">
        <f>G88*0.1*F91</f>
        <v>0.61</v>
      </c>
      <c r="H91" s="3"/>
      <c r="I91" s="24"/>
      <c r="J91" s="25">
        <f>H91</f>
        <v>0</v>
      </c>
      <c r="K91" s="25">
        <f>G91*H91</f>
        <v>0</v>
      </c>
      <c r="L91" s="25"/>
      <c r="M91" s="26">
        <f>K91</f>
        <v>0</v>
      </c>
      <c r="O91" s="356"/>
    </row>
    <row r="92" spans="1:15" s="68" customFormat="1" ht="25.5" x14ac:dyDescent="0.25">
      <c r="A92" s="42">
        <f t="shared" si="8"/>
        <v>82</v>
      </c>
      <c r="B92" s="15"/>
      <c r="C92" s="314" t="s">
        <v>46</v>
      </c>
      <c r="D92" s="315" t="s">
        <v>25</v>
      </c>
      <c r="E92" s="316" t="s">
        <v>12</v>
      </c>
      <c r="F92" s="317">
        <v>1.1000000000000001</v>
      </c>
      <c r="G92" s="318">
        <f>G88*F92</f>
        <v>26.62</v>
      </c>
      <c r="H92" s="3"/>
      <c r="I92" s="24"/>
      <c r="J92" s="25">
        <f>H92</f>
        <v>0</v>
      </c>
      <c r="K92" s="25">
        <f>G92*H92</f>
        <v>0</v>
      </c>
      <c r="L92" s="25"/>
      <c r="M92" s="26">
        <f>K92</f>
        <v>0</v>
      </c>
      <c r="O92" s="356"/>
    </row>
    <row r="93" spans="1:15" s="23" customFormat="1" ht="12.75" x14ac:dyDescent="0.25">
      <c r="A93" s="43">
        <f t="shared" si="8"/>
        <v>83</v>
      </c>
      <c r="B93" s="14" t="s">
        <v>113</v>
      </c>
      <c r="C93" s="8" t="s">
        <v>47</v>
      </c>
      <c r="D93" s="5" t="s">
        <v>22</v>
      </c>
      <c r="E93" s="6" t="s">
        <v>8</v>
      </c>
      <c r="F93" s="7">
        <v>1</v>
      </c>
      <c r="G93" s="313">
        <f>G94</f>
        <v>12.6</v>
      </c>
      <c r="H93" s="2"/>
      <c r="I93" s="4"/>
      <c r="J93" s="21">
        <f>I93</f>
        <v>0</v>
      </c>
      <c r="K93" s="21"/>
      <c r="L93" s="21">
        <f>G93*I93</f>
        <v>0</v>
      </c>
      <c r="M93" s="22">
        <f>L93</f>
        <v>0</v>
      </c>
      <c r="O93" s="354"/>
    </row>
    <row r="94" spans="1:15" s="68" customFormat="1" ht="25.5" x14ac:dyDescent="0.25">
      <c r="A94" s="42">
        <f t="shared" si="8"/>
        <v>84</v>
      </c>
      <c r="B94" s="15" t="s">
        <v>73</v>
      </c>
      <c r="C94" s="331" t="s">
        <v>70</v>
      </c>
      <c r="D94" s="315" t="s">
        <v>25</v>
      </c>
      <c r="E94" s="316" t="s">
        <v>8</v>
      </c>
      <c r="F94" s="317">
        <v>1</v>
      </c>
      <c r="G94" s="318">
        <f>6.2+6.4</f>
        <v>12.6</v>
      </c>
      <c r="H94" s="30"/>
      <c r="I94" s="24"/>
      <c r="J94" s="25">
        <f>H94</f>
        <v>0</v>
      </c>
      <c r="K94" s="25">
        <f>G94*H94</f>
        <v>0</v>
      </c>
      <c r="L94" s="25"/>
      <c r="M94" s="26">
        <f>K94</f>
        <v>0</v>
      </c>
      <c r="O94" s="356"/>
    </row>
    <row r="95" spans="1:15" s="68" customFormat="1" ht="25.5" x14ac:dyDescent="0.25">
      <c r="A95" s="42">
        <f t="shared" si="8"/>
        <v>85</v>
      </c>
      <c r="B95" s="15" t="s">
        <v>74</v>
      </c>
      <c r="C95" s="331" t="s">
        <v>71</v>
      </c>
      <c r="D95" s="315" t="s">
        <v>25</v>
      </c>
      <c r="E95" s="316" t="s">
        <v>24</v>
      </c>
      <c r="F95" s="317">
        <v>1.1000000000000001</v>
      </c>
      <c r="G95" s="318">
        <f>21.2*F95</f>
        <v>23.32</v>
      </c>
      <c r="H95" s="30"/>
      <c r="I95" s="24"/>
      <c r="J95" s="25">
        <f>H95</f>
        <v>0</v>
      </c>
      <c r="K95" s="25">
        <f>G95*H95</f>
        <v>0</v>
      </c>
      <c r="L95" s="25"/>
      <c r="M95" s="26">
        <f>K95</f>
        <v>0</v>
      </c>
      <c r="O95" s="356"/>
    </row>
    <row r="96" spans="1:15" s="23" customFormat="1" ht="12.75" x14ac:dyDescent="0.25">
      <c r="A96" s="43">
        <f t="shared" si="8"/>
        <v>86</v>
      </c>
      <c r="B96" s="14" t="s">
        <v>113</v>
      </c>
      <c r="C96" s="8" t="s">
        <v>48</v>
      </c>
      <c r="D96" s="5" t="s">
        <v>22</v>
      </c>
      <c r="E96" s="6" t="s">
        <v>8</v>
      </c>
      <c r="F96" s="7">
        <v>1</v>
      </c>
      <c r="G96" s="313">
        <f>G97</f>
        <v>6.8</v>
      </c>
      <c r="H96" s="2"/>
      <c r="I96" s="4"/>
      <c r="J96" s="21">
        <f>I96</f>
        <v>0</v>
      </c>
      <c r="K96" s="21"/>
      <c r="L96" s="21">
        <f>G96*I96</f>
        <v>0</v>
      </c>
      <c r="M96" s="22">
        <f>L96</f>
        <v>0</v>
      </c>
      <c r="O96" s="354"/>
    </row>
    <row r="97" spans="1:16" s="68" customFormat="1" ht="25.5" x14ac:dyDescent="0.2">
      <c r="A97" s="42">
        <f t="shared" si="8"/>
        <v>87</v>
      </c>
      <c r="B97" s="15" t="s">
        <v>75</v>
      </c>
      <c r="C97" s="332" t="s">
        <v>72</v>
      </c>
      <c r="D97" s="315" t="s">
        <v>25</v>
      </c>
      <c r="E97" s="316" t="s">
        <v>8</v>
      </c>
      <c r="F97" s="317">
        <v>1</v>
      </c>
      <c r="G97" s="318">
        <f>2.8+4</f>
        <v>6.8</v>
      </c>
      <c r="H97" s="30"/>
      <c r="I97" s="24"/>
      <c r="J97" s="25">
        <f>H97</f>
        <v>0</v>
      </c>
      <c r="K97" s="25">
        <f>G97*H97</f>
        <v>0</v>
      </c>
      <c r="L97" s="25"/>
      <c r="M97" s="26">
        <f>K97</f>
        <v>0</v>
      </c>
      <c r="O97" s="356"/>
    </row>
    <row r="98" spans="1:16" s="23" customFormat="1" ht="12.75" x14ac:dyDescent="0.25">
      <c r="A98" s="297">
        <f>ROW()-10</f>
        <v>88</v>
      </c>
      <c r="B98" s="298" t="s">
        <v>84</v>
      </c>
      <c r="C98" s="299" t="s">
        <v>124</v>
      </c>
      <c r="D98" s="48"/>
      <c r="E98" s="300"/>
      <c r="F98" s="301"/>
      <c r="G98" s="302"/>
      <c r="H98" s="49"/>
      <c r="I98" s="50"/>
      <c r="J98" s="51"/>
      <c r="K98" s="51"/>
      <c r="L98" s="51"/>
      <c r="M98" s="52"/>
      <c r="O98" s="354"/>
    </row>
    <row r="99" spans="1:16" s="44" customFormat="1" ht="25.5" customHeight="1" x14ac:dyDescent="0.25">
      <c r="A99" s="305">
        <f>ROW()-10</f>
        <v>89</v>
      </c>
      <c r="B99" s="306" t="s">
        <v>87</v>
      </c>
      <c r="C99" s="307" t="s">
        <v>88</v>
      </c>
      <c r="D99" s="36"/>
      <c r="E99" s="308"/>
      <c r="F99" s="309"/>
      <c r="G99" s="310"/>
      <c r="H99" s="39"/>
      <c r="I99" s="37"/>
      <c r="J99" s="28"/>
      <c r="K99" s="28"/>
      <c r="L99" s="28"/>
      <c r="M99" s="40"/>
      <c r="N99" s="23"/>
      <c r="O99" s="354"/>
      <c r="P99" s="23"/>
    </row>
    <row r="100" spans="1:16" s="23" customFormat="1" ht="12.75" x14ac:dyDescent="0.25">
      <c r="A100" s="43">
        <f t="shared" ref="A100:A107" si="9">ROW()-10</f>
        <v>90</v>
      </c>
      <c r="B100" s="14" t="s">
        <v>99</v>
      </c>
      <c r="C100" s="55" t="s">
        <v>100</v>
      </c>
      <c r="D100" s="5" t="s">
        <v>22</v>
      </c>
      <c r="E100" s="6" t="s">
        <v>8</v>
      </c>
      <c r="F100" s="7">
        <v>1</v>
      </c>
      <c r="G100" s="313">
        <f>(45.2+17.2)*15</f>
        <v>936</v>
      </c>
      <c r="H100" s="2"/>
      <c r="I100" s="4"/>
      <c r="J100" s="21">
        <f>I100</f>
        <v>0</v>
      </c>
      <c r="K100" s="21"/>
      <c r="L100" s="21">
        <f>G100*I100</f>
        <v>0</v>
      </c>
      <c r="M100" s="22">
        <f>L100</f>
        <v>0</v>
      </c>
      <c r="N100" s="44"/>
      <c r="O100" s="355"/>
      <c r="P100" s="44"/>
    </row>
    <row r="101" spans="1:16" s="68" customFormat="1" ht="25.5" x14ac:dyDescent="0.25">
      <c r="A101" s="42">
        <f t="shared" si="9"/>
        <v>91</v>
      </c>
      <c r="B101" s="15"/>
      <c r="C101" s="326" t="s">
        <v>13</v>
      </c>
      <c r="D101" s="315" t="s">
        <v>25</v>
      </c>
      <c r="E101" s="316" t="s">
        <v>14</v>
      </c>
      <c r="F101" s="317">
        <v>0.1</v>
      </c>
      <c r="G101" s="318">
        <f>G100*F101</f>
        <v>93.6</v>
      </c>
      <c r="H101" s="3"/>
      <c r="I101" s="24"/>
      <c r="J101" s="25">
        <f>H101</f>
        <v>0</v>
      </c>
      <c r="K101" s="25">
        <f>G101*H101</f>
        <v>0</v>
      </c>
      <c r="L101" s="25"/>
      <c r="M101" s="26">
        <f>K101</f>
        <v>0</v>
      </c>
      <c r="O101" s="356"/>
    </row>
    <row r="102" spans="1:16" s="68" customFormat="1" ht="25.5" x14ac:dyDescent="0.25">
      <c r="A102" s="42">
        <f t="shared" si="9"/>
        <v>92</v>
      </c>
      <c r="B102" s="15"/>
      <c r="C102" s="326" t="s">
        <v>101</v>
      </c>
      <c r="D102" s="315" t="s">
        <v>25</v>
      </c>
      <c r="E102" s="316" t="s">
        <v>10</v>
      </c>
      <c r="F102" s="317">
        <v>1.2</v>
      </c>
      <c r="G102" s="318">
        <f>G100*F102</f>
        <v>1123.2</v>
      </c>
      <c r="H102" s="3"/>
      <c r="I102" s="24"/>
      <c r="J102" s="25">
        <f>H102</f>
        <v>0</v>
      </c>
      <c r="K102" s="25">
        <f>G102*H102</f>
        <v>0</v>
      </c>
      <c r="L102" s="25"/>
      <c r="M102" s="26">
        <f>K102</f>
        <v>0</v>
      </c>
      <c r="O102" s="356"/>
    </row>
    <row r="103" spans="1:16" s="68" customFormat="1" ht="25.5" x14ac:dyDescent="0.25">
      <c r="A103" s="42">
        <f t="shared" si="9"/>
        <v>93</v>
      </c>
      <c r="B103" s="15"/>
      <c r="C103" s="314" t="s">
        <v>23</v>
      </c>
      <c r="D103" s="315" t="s">
        <v>25</v>
      </c>
      <c r="E103" s="316" t="s">
        <v>10</v>
      </c>
      <c r="F103" s="317">
        <v>1.7</v>
      </c>
      <c r="G103" s="318">
        <f>G100*F103</f>
        <v>1591.2</v>
      </c>
      <c r="H103" s="3"/>
      <c r="I103" s="24"/>
      <c r="J103" s="25">
        <f>H103</f>
        <v>0</v>
      </c>
      <c r="K103" s="25">
        <f>G103*H103</f>
        <v>0</v>
      </c>
      <c r="L103" s="25"/>
      <c r="M103" s="26">
        <f>K103</f>
        <v>0</v>
      </c>
      <c r="O103" s="356"/>
    </row>
    <row r="104" spans="1:16" s="23" customFormat="1" ht="38.25" x14ac:dyDescent="0.25">
      <c r="A104" s="43">
        <f t="shared" si="9"/>
        <v>94</v>
      </c>
      <c r="B104" s="14" t="s">
        <v>102</v>
      </c>
      <c r="C104" s="8" t="s">
        <v>103</v>
      </c>
      <c r="D104" s="5" t="s">
        <v>22</v>
      </c>
      <c r="E104" s="6" t="s">
        <v>8</v>
      </c>
      <c r="F104" s="7">
        <v>1</v>
      </c>
      <c r="G104" s="313">
        <f>G100</f>
        <v>936</v>
      </c>
      <c r="H104" s="2"/>
      <c r="I104" s="4"/>
      <c r="J104" s="21">
        <f>I104</f>
        <v>0</v>
      </c>
      <c r="K104" s="21"/>
      <c r="L104" s="21">
        <f>G104*I104</f>
        <v>0</v>
      </c>
      <c r="M104" s="22">
        <f>L104</f>
        <v>0</v>
      </c>
      <c r="O104" s="354"/>
    </row>
    <row r="105" spans="1:16" s="68" customFormat="1" ht="25.5" x14ac:dyDescent="0.25">
      <c r="A105" s="42">
        <f t="shared" si="9"/>
        <v>95</v>
      </c>
      <c r="B105" s="15"/>
      <c r="C105" s="314" t="s">
        <v>13</v>
      </c>
      <c r="D105" s="315" t="s">
        <v>25</v>
      </c>
      <c r="E105" s="316" t="s">
        <v>14</v>
      </c>
      <c r="F105" s="317">
        <v>0.1</v>
      </c>
      <c r="G105" s="318">
        <f>G104*F105</f>
        <v>93.6</v>
      </c>
      <c r="H105" s="3"/>
      <c r="I105" s="24"/>
      <c r="J105" s="25">
        <f>H105</f>
        <v>0</v>
      </c>
      <c r="K105" s="25">
        <f>G105*H105</f>
        <v>0</v>
      </c>
      <c r="L105" s="25"/>
      <c r="M105" s="26">
        <f>K105</f>
        <v>0</v>
      </c>
      <c r="O105" s="356"/>
    </row>
    <row r="106" spans="1:16" s="68" customFormat="1" ht="25.5" x14ac:dyDescent="0.25">
      <c r="A106" s="42">
        <f t="shared" si="9"/>
        <v>96</v>
      </c>
      <c r="B106" s="38"/>
      <c r="C106" s="314" t="s">
        <v>118</v>
      </c>
      <c r="D106" s="315" t="s">
        <v>25</v>
      </c>
      <c r="E106" s="316" t="s">
        <v>14</v>
      </c>
      <c r="F106" s="317">
        <v>0.3</v>
      </c>
      <c r="G106" s="318">
        <f>45.2*15*F106</f>
        <v>203.4</v>
      </c>
      <c r="H106" s="3"/>
      <c r="I106" s="24"/>
      <c r="J106" s="25">
        <f>H106</f>
        <v>0</v>
      </c>
      <c r="K106" s="25">
        <f>G106*H106</f>
        <v>0</v>
      </c>
      <c r="L106" s="25"/>
      <c r="M106" s="26">
        <f>K106</f>
        <v>0</v>
      </c>
      <c r="O106" s="356"/>
    </row>
    <row r="107" spans="1:16" s="68" customFormat="1" ht="25.5" x14ac:dyDescent="0.25">
      <c r="A107" s="42">
        <f t="shared" si="9"/>
        <v>97</v>
      </c>
      <c r="B107" s="38"/>
      <c r="C107" s="314" t="s">
        <v>122</v>
      </c>
      <c r="D107" s="315" t="s">
        <v>25</v>
      </c>
      <c r="E107" s="316" t="s">
        <v>14</v>
      </c>
      <c r="F107" s="317">
        <v>0.3</v>
      </c>
      <c r="G107" s="318">
        <f>17.2*15*F107</f>
        <v>77.400000000000006</v>
      </c>
      <c r="H107" s="3"/>
      <c r="I107" s="24"/>
      <c r="J107" s="25">
        <f>H107</f>
        <v>0</v>
      </c>
      <c r="K107" s="25">
        <f>G107*H107</f>
        <v>0</v>
      </c>
      <c r="L107" s="25"/>
      <c r="M107" s="26">
        <f>K107</f>
        <v>0</v>
      </c>
      <c r="O107" s="356"/>
    </row>
    <row r="108" spans="1:16" s="44" customFormat="1" ht="25.5" customHeight="1" x14ac:dyDescent="0.25">
      <c r="A108" s="256">
        <f>ROW()-10</f>
        <v>98</v>
      </c>
      <c r="B108" s="306" t="s">
        <v>110</v>
      </c>
      <c r="C108" s="307" t="s">
        <v>109</v>
      </c>
      <c r="D108" s="36"/>
      <c r="E108" s="308"/>
      <c r="F108" s="309"/>
      <c r="G108" s="310"/>
      <c r="H108" s="39"/>
      <c r="I108" s="37"/>
      <c r="J108" s="28"/>
      <c r="K108" s="28"/>
      <c r="L108" s="28"/>
      <c r="M108" s="40"/>
      <c r="N108" s="23"/>
      <c r="O108" s="354"/>
      <c r="P108" s="23"/>
    </row>
    <row r="109" spans="1:16" s="27" customFormat="1" ht="12.75" x14ac:dyDescent="0.25">
      <c r="A109" s="43">
        <f t="shared" ref="A109:A128" si="10">ROW()-10</f>
        <v>99</v>
      </c>
      <c r="B109" s="14" t="s">
        <v>110</v>
      </c>
      <c r="C109" s="55" t="s">
        <v>21</v>
      </c>
      <c r="D109" s="5" t="s">
        <v>22</v>
      </c>
      <c r="E109" s="6" t="s">
        <v>8</v>
      </c>
      <c r="F109" s="7">
        <v>1</v>
      </c>
      <c r="G109" s="18">
        <f>156.13*15</f>
        <v>2341.9499999999998</v>
      </c>
      <c r="H109" s="2"/>
      <c r="I109" s="4"/>
      <c r="J109" s="21">
        <f>I109</f>
        <v>0</v>
      </c>
      <c r="K109" s="21"/>
      <c r="L109" s="21">
        <f>G109*I109</f>
        <v>0</v>
      </c>
      <c r="M109" s="22">
        <f>L109</f>
        <v>0</v>
      </c>
      <c r="N109" s="44"/>
      <c r="O109" s="355"/>
      <c r="P109" s="44"/>
    </row>
    <row r="110" spans="1:16" s="27" customFormat="1" ht="25.5" x14ac:dyDescent="0.25">
      <c r="A110" s="42">
        <f t="shared" si="10"/>
        <v>100</v>
      </c>
      <c r="B110" s="15"/>
      <c r="C110" s="326" t="s">
        <v>13</v>
      </c>
      <c r="D110" s="315" t="s">
        <v>25</v>
      </c>
      <c r="E110" s="316" t="s">
        <v>14</v>
      </c>
      <c r="F110" s="317">
        <v>0.1</v>
      </c>
      <c r="G110" s="9">
        <f>G109*F110</f>
        <v>234.2</v>
      </c>
      <c r="H110" s="3"/>
      <c r="I110" s="24"/>
      <c r="J110" s="25">
        <f>H110</f>
        <v>0</v>
      </c>
      <c r="K110" s="25">
        <f>G110*H110</f>
        <v>0</v>
      </c>
      <c r="L110" s="25"/>
      <c r="M110" s="26">
        <f>K110</f>
        <v>0</v>
      </c>
      <c r="O110" s="357"/>
    </row>
    <row r="111" spans="1:16" s="27" customFormat="1" ht="25.5" x14ac:dyDescent="0.25">
      <c r="A111" s="42">
        <f t="shared" si="10"/>
        <v>101</v>
      </c>
      <c r="B111" s="15"/>
      <c r="C111" s="326" t="s">
        <v>52</v>
      </c>
      <c r="D111" s="315" t="s">
        <v>25</v>
      </c>
      <c r="E111" s="316" t="s">
        <v>10</v>
      </c>
      <c r="F111" s="317">
        <v>1.2</v>
      </c>
      <c r="G111" s="9">
        <f>G109*F111</f>
        <v>2810.34</v>
      </c>
      <c r="H111" s="3"/>
      <c r="I111" s="53"/>
      <c r="J111" s="25">
        <f>H111</f>
        <v>0</v>
      </c>
      <c r="K111" s="25">
        <f>G111*H111</f>
        <v>0</v>
      </c>
      <c r="L111" s="25"/>
      <c r="M111" s="26">
        <f>K111</f>
        <v>0</v>
      </c>
      <c r="O111" s="357"/>
    </row>
    <row r="112" spans="1:16" s="27" customFormat="1" ht="25.5" x14ac:dyDescent="0.25">
      <c r="A112" s="42">
        <f t="shared" si="10"/>
        <v>102</v>
      </c>
      <c r="B112" s="15"/>
      <c r="C112" s="314" t="s">
        <v>23</v>
      </c>
      <c r="D112" s="315" t="s">
        <v>25</v>
      </c>
      <c r="E112" s="316" t="s">
        <v>10</v>
      </c>
      <c r="F112" s="317">
        <v>1.7</v>
      </c>
      <c r="G112" s="9">
        <f>G109*F112</f>
        <v>3981.32</v>
      </c>
      <c r="H112" s="3"/>
      <c r="I112" s="24"/>
      <c r="J112" s="25">
        <f>H112</f>
        <v>0</v>
      </c>
      <c r="K112" s="25">
        <f>G112*H112</f>
        <v>0</v>
      </c>
      <c r="L112" s="25"/>
      <c r="M112" s="26">
        <f>K112</f>
        <v>0</v>
      </c>
      <c r="O112" s="357"/>
    </row>
    <row r="113" spans="1:16" s="27" customFormat="1" ht="45" customHeight="1" x14ac:dyDescent="0.25">
      <c r="A113" s="43">
        <f t="shared" si="10"/>
        <v>103</v>
      </c>
      <c r="B113" s="14" t="s">
        <v>110</v>
      </c>
      <c r="C113" s="54" t="s">
        <v>18</v>
      </c>
      <c r="D113" s="5" t="s">
        <v>22</v>
      </c>
      <c r="E113" s="6" t="s">
        <v>8</v>
      </c>
      <c r="F113" s="7">
        <v>1</v>
      </c>
      <c r="G113" s="18">
        <f>21.25*15</f>
        <v>318.75</v>
      </c>
      <c r="H113" s="2"/>
      <c r="I113" s="4"/>
      <c r="J113" s="21">
        <f>I113</f>
        <v>0</v>
      </c>
      <c r="K113" s="21"/>
      <c r="L113" s="21">
        <f>G113*I113</f>
        <v>0</v>
      </c>
      <c r="M113" s="22">
        <f>L113</f>
        <v>0</v>
      </c>
      <c r="O113" s="357"/>
    </row>
    <row r="114" spans="1:16" s="68" customFormat="1" ht="25.5" x14ac:dyDescent="0.25">
      <c r="A114" s="42">
        <f t="shared" si="10"/>
        <v>104</v>
      </c>
      <c r="B114" s="15"/>
      <c r="C114" s="314" t="s">
        <v>58</v>
      </c>
      <c r="D114" s="315" t="s">
        <v>25</v>
      </c>
      <c r="E114" s="316" t="s">
        <v>8</v>
      </c>
      <c r="F114" s="317">
        <v>1.07</v>
      </c>
      <c r="G114" s="318">
        <f>G113*F114</f>
        <v>341.06</v>
      </c>
      <c r="H114" s="3"/>
      <c r="I114" s="24"/>
      <c r="J114" s="25">
        <f>H114</f>
        <v>0</v>
      </c>
      <c r="K114" s="25">
        <f>G114*H114</f>
        <v>0</v>
      </c>
      <c r="L114" s="25"/>
      <c r="M114" s="26">
        <f>K114</f>
        <v>0</v>
      </c>
      <c r="N114" s="27"/>
      <c r="O114" s="357"/>
      <c r="P114" s="27"/>
    </row>
    <row r="115" spans="1:16" s="68" customFormat="1" ht="25.5" x14ac:dyDescent="0.25">
      <c r="A115" s="42">
        <f t="shared" si="10"/>
        <v>105</v>
      </c>
      <c r="B115" s="15"/>
      <c r="C115" s="314" t="s">
        <v>9</v>
      </c>
      <c r="D115" s="315" t="s">
        <v>25</v>
      </c>
      <c r="E115" s="316" t="s">
        <v>10</v>
      </c>
      <c r="F115" s="317">
        <v>12</v>
      </c>
      <c r="G115" s="318">
        <f>G113*0.3*F115</f>
        <v>1147.5</v>
      </c>
      <c r="H115" s="3"/>
      <c r="I115" s="24"/>
      <c r="J115" s="25">
        <f>H115</f>
        <v>0</v>
      </c>
      <c r="K115" s="25">
        <f>G115*H115</f>
        <v>0</v>
      </c>
      <c r="L115" s="25"/>
      <c r="M115" s="26">
        <f>K115</f>
        <v>0</v>
      </c>
      <c r="O115" s="356"/>
    </row>
    <row r="116" spans="1:16" s="68" customFormat="1" ht="25.5" x14ac:dyDescent="0.25">
      <c r="A116" s="42">
        <f t="shared" si="10"/>
        <v>106</v>
      </c>
      <c r="B116" s="15"/>
      <c r="C116" s="314" t="s">
        <v>11</v>
      </c>
      <c r="D116" s="315" t="s">
        <v>25</v>
      </c>
      <c r="E116" s="316" t="s">
        <v>10</v>
      </c>
      <c r="F116" s="317">
        <v>0.25</v>
      </c>
      <c r="G116" s="318">
        <f>G113*0.3*F116</f>
        <v>23.91</v>
      </c>
      <c r="H116" s="3"/>
      <c r="I116" s="24"/>
      <c r="J116" s="25">
        <f>H116</f>
        <v>0</v>
      </c>
      <c r="K116" s="25">
        <f>G116*H116</f>
        <v>0</v>
      </c>
      <c r="L116" s="25"/>
      <c r="M116" s="26">
        <f>K116</f>
        <v>0</v>
      </c>
      <c r="O116" s="356"/>
    </row>
    <row r="117" spans="1:16" s="68" customFormat="1" ht="25.5" x14ac:dyDescent="0.25">
      <c r="A117" s="42">
        <f t="shared" si="10"/>
        <v>107</v>
      </c>
      <c r="B117" s="15"/>
      <c r="C117" s="314" t="s">
        <v>46</v>
      </c>
      <c r="D117" s="315" t="s">
        <v>25</v>
      </c>
      <c r="E117" s="316" t="s">
        <v>12</v>
      </c>
      <c r="F117" s="317">
        <v>1.1000000000000001</v>
      </c>
      <c r="G117" s="318">
        <f>9.18*15*F117</f>
        <v>151.47</v>
      </c>
      <c r="H117" s="3"/>
      <c r="I117" s="24"/>
      <c r="J117" s="25">
        <f>H117</f>
        <v>0</v>
      </c>
      <c r="K117" s="25">
        <f>G117*H117</f>
        <v>0</v>
      </c>
      <c r="L117" s="25"/>
      <c r="M117" s="26">
        <f>K117</f>
        <v>0</v>
      </c>
      <c r="O117" s="356"/>
    </row>
    <row r="118" spans="1:16" s="27" customFormat="1" ht="12.75" x14ac:dyDescent="0.25">
      <c r="A118" s="43">
        <f t="shared" si="10"/>
        <v>108</v>
      </c>
      <c r="B118" s="14" t="s">
        <v>110</v>
      </c>
      <c r="C118" s="8" t="s">
        <v>19</v>
      </c>
      <c r="D118" s="5" t="s">
        <v>22</v>
      </c>
      <c r="E118" s="6" t="s">
        <v>8</v>
      </c>
      <c r="F118" s="7">
        <v>1</v>
      </c>
      <c r="G118" s="18">
        <f>G109</f>
        <v>2341.9499999999998</v>
      </c>
      <c r="H118" s="2"/>
      <c r="I118" s="4"/>
      <c r="J118" s="21">
        <f>I118</f>
        <v>0</v>
      </c>
      <c r="K118" s="21"/>
      <c r="L118" s="21">
        <f>G118*I118</f>
        <v>0</v>
      </c>
      <c r="M118" s="22">
        <f>L118</f>
        <v>0</v>
      </c>
      <c r="N118" s="23"/>
      <c r="O118" s="354"/>
      <c r="P118" s="23"/>
    </row>
    <row r="119" spans="1:16" s="68" customFormat="1" ht="25.5" x14ac:dyDescent="0.25">
      <c r="A119" s="42">
        <f t="shared" si="10"/>
        <v>109</v>
      </c>
      <c r="B119" s="15"/>
      <c r="C119" s="314" t="s">
        <v>13</v>
      </c>
      <c r="D119" s="315" t="s">
        <v>25</v>
      </c>
      <c r="E119" s="316" t="s">
        <v>14</v>
      </c>
      <c r="F119" s="317">
        <v>0.1</v>
      </c>
      <c r="G119" s="318">
        <f>G118*F119</f>
        <v>234.2</v>
      </c>
      <c r="H119" s="3"/>
      <c r="I119" s="24"/>
      <c r="J119" s="25">
        <f>H119</f>
        <v>0</v>
      </c>
      <c r="K119" s="25">
        <f>G119*H119</f>
        <v>0</v>
      </c>
      <c r="L119" s="25"/>
      <c r="M119" s="26">
        <f>K119</f>
        <v>0</v>
      </c>
      <c r="N119" s="27"/>
      <c r="O119" s="357"/>
      <c r="P119" s="27"/>
    </row>
    <row r="120" spans="1:16" s="68" customFormat="1" ht="25.5" x14ac:dyDescent="0.25">
      <c r="A120" s="42">
        <f t="shared" si="10"/>
        <v>110</v>
      </c>
      <c r="B120" s="15"/>
      <c r="C120" s="314" t="s">
        <v>104</v>
      </c>
      <c r="D120" s="315" t="s">
        <v>25</v>
      </c>
      <c r="E120" s="316" t="s">
        <v>14</v>
      </c>
      <c r="F120" s="317">
        <v>0.3</v>
      </c>
      <c r="G120" s="318">
        <f>133.71*15*F120</f>
        <v>601.70000000000005</v>
      </c>
      <c r="H120" s="3"/>
      <c r="I120" s="24"/>
      <c r="J120" s="25">
        <f>H120</f>
        <v>0</v>
      </c>
      <c r="K120" s="25">
        <f>G120*H120</f>
        <v>0</v>
      </c>
      <c r="L120" s="25"/>
      <c r="M120" s="26">
        <f>K120</f>
        <v>0</v>
      </c>
      <c r="O120" s="356"/>
    </row>
    <row r="121" spans="1:16" s="68" customFormat="1" ht="25.5" x14ac:dyDescent="0.25">
      <c r="A121" s="42">
        <f t="shared" si="10"/>
        <v>111</v>
      </c>
      <c r="B121" s="15"/>
      <c r="C121" s="314" t="s">
        <v>105</v>
      </c>
      <c r="D121" s="315" t="s">
        <v>25</v>
      </c>
      <c r="E121" s="316" t="s">
        <v>14</v>
      </c>
      <c r="F121" s="317">
        <v>0.3</v>
      </c>
      <c r="G121" s="318">
        <f>17.82*15*F121</f>
        <v>80.19</v>
      </c>
      <c r="H121" s="3"/>
      <c r="I121" s="24"/>
      <c r="J121" s="25">
        <f>H121</f>
        <v>0</v>
      </c>
      <c r="K121" s="25">
        <f>G121*H121</f>
        <v>0</v>
      </c>
      <c r="L121" s="25"/>
      <c r="M121" s="26">
        <f>K121</f>
        <v>0</v>
      </c>
      <c r="O121" s="356"/>
    </row>
    <row r="122" spans="1:16" s="68" customFormat="1" ht="25.5" x14ac:dyDescent="0.25">
      <c r="A122" s="42">
        <f t="shared" si="10"/>
        <v>112</v>
      </c>
      <c r="B122" s="15"/>
      <c r="C122" s="314" t="s">
        <v>106</v>
      </c>
      <c r="D122" s="315" t="s">
        <v>25</v>
      </c>
      <c r="E122" s="316" t="s">
        <v>14</v>
      </c>
      <c r="F122" s="317">
        <v>0.3</v>
      </c>
      <c r="G122" s="318">
        <f>4.61*15*F122</f>
        <v>20.75</v>
      </c>
      <c r="H122" s="3"/>
      <c r="I122" s="24"/>
      <c r="J122" s="25">
        <f>H122</f>
        <v>0</v>
      </c>
      <c r="K122" s="25">
        <f>G122*H122</f>
        <v>0</v>
      </c>
      <c r="L122" s="25"/>
      <c r="M122" s="26">
        <f>K122</f>
        <v>0</v>
      </c>
      <c r="O122" s="356"/>
    </row>
    <row r="123" spans="1:16" s="27" customFormat="1" ht="21.75" customHeight="1" x14ac:dyDescent="0.25">
      <c r="A123" s="43">
        <f t="shared" si="10"/>
        <v>113</v>
      </c>
      <c r="B123" s="14" t="s">
        <v>110</v>
      </c>
      <c r="C123" s="8" t="s">
        <v>20</v>
      </c>
      <c r="D123" s="5" t="s">
        <v>22</v>
      </c>
      <c r="E123" s="6" t="s">
        <v>24</v>
      </c>
      <c r="F123" s="7">
        <v>1</v>
      </c>
      <c r="G123" s="18">
        <f>57.88*15</f>
        <v>868.2</v>
      </c>
      <c r="H123" s="2"/>
      <c r="I123" s="4"/>
      <c r="J123" s="21">
        <f>I123</f>
        <v>0</v>
      </c>
      <c r="K123" s="21"/>
      <c r="L123" s="21">
        <f>G123*I123</f>
        <v>0</v>
      </c>
      <c r="M123" s="22">
        <f>L123</f>
        <v>0</v>
      </c>
      <c r="N123" s="23"/>
      <c r="O123" s="354"/>
      <c r="P123" s="23"/>
    </row>
    <row r="124" spans="1:16" s="27" customFormat="1" ht="25.5" customHeight="1" x14ac:dyDescent="0.25">
      <c r="A124" s="42">
        <f t="shared" si="10"/>
        <v>114</v>
      </c>
      <c r="B124" s="15"/>
      <c r="C124" s="314" t="s">
        <v>32</v>
      </c>
      <c r="D124" s="315" t="s">
        <v>25</v>
      </c>
      <c r="E124" s="328" t="s">
        <v>10</v>
      </c>
      <c r="F124" s="329">
        <v>0.05</v>
      </c>
      <c r="G124" s="318">
        <f>G123*0.2*F124</f>
        <v>8.68</v>
      </c>
      <c r="H124" s="3"/>
      <c r="I124" s="24"/>
      <c r="J124" s="25">
        <f>H124</f>
        <v>0</v>
      </c>
      <c r="K124" s="25">
        <f>G124*H124</f>
        <v>0</v>
      </c>
      <c r="L124" s="25"/>
      <c r="M124" s="26">
        <f>K124</f>
        <v>0</v>
      </c>
      <c r="O124" s="357"/>
    </row>
    <row r="125" spans="1:16" s="27" customFormat="1" ht="25.5" x14ac:dyDescent="0.25">
      <c r="A125" s="42">
        <f t="shared" si="10"/>
        <v>115</v>
      </c>
      <c r="B125" s="15"/>
      <c r="C125" s="314" t="s">
        <v>33</v>
      </c>
      <c r="D125" s="315" t="s">
        <v>25</v>
      </c>
      <c r="E125" s="328" t="s">
        <v>10</v>
      </c>
      <c r="F125" s="329">
        <v>10</v>
      </c>
      <c r="G125" s="318">
        <f>G123*0.2*F125</f>
        <v>1736.4</v>
      </c>
      <c r="H125" s="3"/>
      <c r="I125" s="24"/>
      <c r="J125" s="25">
        <f>H125</f>
        <v>0</v>
      </c>
      <c r="K125" s="25">
        <f>G125*H125</f>
        <v>0</v>
      </c>
      <c r="L125" s="25"/>
      <c r="M125" s="26">
        <f>K125</f>
        <v>0</v>
      </c>
      <c r="O125" s="357"/>
    </row>
    <row r="126" spans="1:16" s="27" customFormat="1" ht="25.5" x14ac:dyDescent="0.25">
      <c r="A126" s="42">
        <f t="shared" si="10"/>
        <v>116</v>
      </c>
      <c r="B126" s="15"/>
      <c r="C126" s="314" t="s">
        <v>13</v>
      </c>
      <c r="D126" s="315" t="s">
        <v>25</v>
      </c>
      <c r="E126" s="316" t="s">
        <v>14</v>
      </c>
      <c r="F126" s="317">
        <v>0.1</v>
      </c>
      <c r="G126" s="318">
        <f>G123*0.2*F126</f>
        <v>17.36</v>
      </c>
      <c r="H126" s="3"/>
      <c r="I126" s="24"/>
      <c r="J126" s="25">
        <f>H126</f>
        <v>0</v>
      </c>
      <c r="K126" s="25">
        <f>G126*H126</f>
        <v>0</v>
      </c>
      <c r="L126" s="25"/>
      <c r="M126" s="26">
        <f>K126</f>
        <v>0</v>
      </c>
      <c r="O126" s="357"/>
    </row>
    <row r="127" spans="1:16" s="27" customFormat="1" ht="25.5" x14ac:dyDescent="0.25">
      <c r="A127" s="42">
        <f t="shared" si="10"/>
        <v>117</v>
      </c>
      <c r="B127" s="15"/>
      <c r="C127" s="314" t="s">
        <v>23</v>
      </c>
      <c r="D127" s="330" t="s">
        <v>25</v>
      </c>
      <c r="E127" s="328" t="s">
        <v>10</v>
      </c>
      <c r="F127" s="329">
        <v>1.7</v>
      </c>
      <c r="G127" s="318">
        <f>G123*0.2*F127</f>
        <v>295.19</v>
      </c>
      <c r="H127" s="3"/>
      <c r="I127" s="24"/>
      <c r="J127" s="25">
        <f>H127</f>
        <v>0</v>
      </c>
      <c r="K127" s="25">
        <f>G127*H127</f>
        <v>0</v>
      </c>
      <c r="L127" s="25"/>
      <c r="M127" s="26">
        <f>K127</f>
        <v>0</v>
      </c>
      <c r="O127" s="357"/>
    </row>
    <row r="128" spans="1:16" s="68" customFormat="1" ht="25.5" x14ac:dyDescent="0.25">
      <c r="A128" s="42">
        <f t="shared" si="10"/>
        <v>118</v>
      </c>
      <c r="B128" s="15"/>
      <c r="C128" s="314" t="s">
        <v>104</v>
      </c>
      <c r="D128" s="315" t="s">
        <v>25</v>
      </c>
      <c r="E128" s="316" t="s">
        <v>14</v>
      </c>
      <c r="F128" s="317">
        <v>0.3</v>
      </c>
      <c r="G128" s="318">
        <f>57.88*0.2*15*F128</f>
        <v>52.09</v>
      </c>
      <c r="H128" s="3"/>
      <c r="I128" s="69"/>
      <c r="J128" s="25">
        <f>H128</f>
        <v>0</v>
      </c>
      <c r="K128" s="25">
        <f>G128*H128</f>
        <v>0</v>
      </c>
      <c r="L128" s="25"/>
      <c r="M128" s="26">
        <f>K128</f>
        <v>0</v>
      </c>
      <c r="N128" s="27"/>
      <c r="O128" s="357"/>
      <c r="P128" s="27"/>
    </row>
    <row r="129" spans="1:16" s="44" customFormat="1" ht="25.5" customHeight="1" x14ac:dyDescent="0.25">
      <c r="A129" s="305">
        <v>143</v>
      </c>
      <c r="B129" s="306" t="s">
        <v>113</v>
      </c>
      <c r="C129" s="307" t="s">
        <v>112</v>
      </c>
      <c r="D129" s="36"/>
      <c r="E129" s="308"/>
      <c r="F129" s="309"/>
      <c r="G129" s="310"/>
      <c r="H129" s="39"/>
      <c r="I129" s="37"/>
      <c r="J129" s="28"/>
      <c r="K129" s="28"/>
      <c r="L129" s="28"/>
      <c r="M129" s="40"/>
      <c r="N129" s="23"/>
      <c r="O129" s="354"/>
      <c r="P129" s="23"/>
    </row>
    <row r="130" spans="1:16" s="27" customFormat="1" ht="12.75" x14ac:dyDescent="0.25">
      <c r="A130" s="43">
        <f t="shared" ref="A130:A141" si="11">ROW()-10</f>
        <v>120</v>
      </c>
      <c r="B130" s="14" t="s">
        <v>113</v>
      </c>
      <c r="C130" s="8" t="s">
        <v>16</v>
      </c>
      <c r="D130" s="5" t="s">
        <v>22</v>
      </c>
      <c r="E130" s="6" t="s">
        <v>8</v>
      </c>
      <c r="F130" s="7">
        <v>1</v>
      </c>
      <c r="G130" s="18">
        <f>46.1*15</f>
        <v>691.5</v>
      </c>
      <c r="H130" s="2"/>
      <c r="I130" s="4"/>
      <c r="J130" s="21">
        <f>I130</f>
        <v>0</v>
      </c>
      <c r="K130" s="21"/>
      <c r="L130" s="21">
        <f>G130*I130</f>
        <v>0</v>
      </c>
      <c r="M130" s="22">
        <f>L130</f>
        <v>0</v>
      </c>
      <c r="N130" s="44"/>
      <c r="O130" s="355"/>
      <c r="P130" s="44"/>
    </row>
    <row r="131" spans="1:16" s="27" customFormat="1" ht="25.5" x14ac:dyDescent="0.25">
      <c r="A131" s="41">
        <f t="shared" si="11"/>
        <v>121</v>
      </c>
      <c r="B131" s="38" t="s">
        <v>59</v>
      </c>
      <c r="C131" s="314" t="s">
        <v>58</v>
      </c>
      <c r="D131" s="315" t="s">
        <v>25</v>
      </c>
      <c r="E131" s="316" t="s">
        <v>8</v>
      </c>
      <c r="F131" s="317">
        <v>1.07</v>
      </c>
      <c r="G131" s="9">
        <f>G130*F131</f>
        <v>739.91</v>
      </c>
      <c r="H131" s="3"/>
      <c r="I131" s="24"/>
      <c r="J131" s="25">
        <f>H131</f>
        <v>0</v>
      </c>
      <c r="K131" s="25">
        <f>G131*H131</f>
        <v>0</v>
      </c>
      <c r="L131" s="25"/>
      <c r="M131" s="26">
        <f>K131</f>
        <v>0</v>
      </c>
      <c r="O131" s="357"/>
    </row>
    <row r="132" spans="1:16" s="27" customFormat="1" ht="25.5" x14ac:dyDescent="0.25">
      <c r="A132" s="42">
        <f t="shared" si="11"/>
        <v>122</v>
      </c>
      <c r="B132" s="15"/>
      <c r="C132" s="314" t="s">
        <v>9</v>
      </c>
      <c r="D132" s="315" t="s">
        <v>25</v>
      </c>
      <c r="E132" s="316" t="s">
        <v>10</v>
      </c>
      <c r="F132" s="317">
        <v>12</v>
      </c>
      <c r="G132" s="9">
        <f>G130*F132</f>
        <v>8298</v>
      </c>
      <c r="H132" s="3"/>
      <c r="I132" s="24"/>
      <c r="J132" s="25">
        <f>H132</f>
        <v>0</v>
      </c>
      <c r="K132" s="25">
        <f>G132*H132</f>
        <v>0</v>
      </c>
      <c r="L132" s="25"/>
      <c r="M132" s="26">
        <f>K132</f>
        <v>0</v>
      </c>
      <c r="O132" s="357"/>
    </row>
    <row r="133" spans="1:16" s="27" customFormat="1" ht="25.5" x14ac:dyDescent="0.25">
      <c r="A133" s="42">
        <f t="shared" si="11"/>
        <v>123</v>
      </c>
      <c r="B133" s="15"/>
      <c r="C133" s="314" t="s">
        <v>11</v>
      </c>
      <c r="D133" s="315" t="s">
        <v>25</v>
      </c>
      <c r="E133" s="316" t="s">
        <v>10</v>
      </c>
      <c r="F133" s="317">
        <v>0.25</v>
      </c>
      <c r="G133" s="9">
        <f>G130*F133</f>
        <v>172.88</v>
      </c>
      <c r="H133" s="3"/>
      <c r="I133" s="24"/>
      <c r="J133" s="25">
        <f>H133</f>
        <v>0</v>
      </c>
      <c r="K133" s="25">
        <f>G133*H133</f>
        <v>0</v>
      </c>
      <c r="L133" s="25"/>
      <c r="M133" s="26">
        <f>K133</f>
        <v>0</v>
      </c>
      <c r="O133" s="357"/>
    </row>
    <row r="134" spans="1:16" s="27" customFormat="1" ht="12.75" x14ac:dyDescent="0.25">
      <c r="A134" s="43">
        <f t="shared" ref="A134:A144" si="12">ROW()-10</f>
        <v>124</v>
      </c>
      <c r="B134" s="14" t="s">
        <v>113</v>
      </c>
      <c r="C134" s="8" t="s">
        <v>62</v>
      </c>
      <c r="D134" s="5" t="s">
        <v>22</v>
      </c>
      <c r="E134" s="6" t="s">
        <v>8</v>
      </c>
      <c r="F134" s="7">
        <v>1</v>
      </c>
      <c r="G134" s="18">
        <f>10.7*15</f>
        <v>160.5</v>
      </c>
      <c r="H134" s="2"/>
      <c r="I134" s="4"/>
      <c r="J134" s="21">
        <f>I134</f>
        <v>0</v>
      </c>
      <c r="K134" s="21"/>
      <c r="L134" s="21">
        <f>G134*I134</f>
        <v>0</v>
      </c>
      <c r="M134" s="22">
        <f>L134</f>
        <v>0</v>
      </c>
      <c r="O134" s="357"/>
    </row>
    <row r="135" spans="1:16" s="27" customFormat="1" ht="25.5" x14ac:dyDescent="0.25">
      <c r="A135" s="41">
        <f t="shared" si="12"/>
        <v>125</v>
      </c>
      <c r="B135" s="38" t="s">
        <v>64</v>
      </c>
      <c r="C135" s="314" t="s">
        <v>67</v>
      </c>
      <c r="D135" s="315" t="s">
        <v>25</v>
      </c>
      <c r="E135" s="316" t="s">
        <v>8</v>
      </c>
      <c r="F135" s="317">
        <v>1.07</v>
      </c>
      <c r="G135" s="9">
        <f>G134*F135</f>
        <v>171.74</v>
      </c>
      <c r="H135" s="3"/>
      <c r="I135" s="24"/>
      <c r="J135" s="25">
        <f>H135</f>
        <v>0</v>
      </c>
      <c r="K135" s="25">
        <f>G135*H135</f>
        <v>0</v>
      </c>
      <c r="L135" s="25"/>
      <c r="M135" s="26">
        <f>K135</f>
        <v>0</v>
      </c>
      <c r="O135" s="357"/>
    </row>
    <row r="136" spans="1:16" s="27" customFormat="1" ht="25.5" x14ac:dyDescent="0.25">
      <c r="A136" s="42">
        <f t="shared" si="12"/>
        <v>126</v>
      </c>
      <c r="B136" s="15"/>
      <c r="C136" s="314" t="s">
        <v>9</v>
      </c>
      <c r="D136" s="315" t="s">
        <v>25</v>
      </c>
      <c r="E136" s="316" t="s">
        <v>10</v>
      </c>
      <c r="F136" s="317">
        <v>12</v>
      </c>
      <c r="G136" s="9">
        <f>G134*F136</f>
        <v>1926</v>
      </c>
      <c r="H136" s="3"/>
      <c r="I136" s="24"/>
      <c r="J136" s="25">
        <f>H136</f>
        <v>0</v>
      </c>
      <c r="K136" s="25">
        <f>G136*H136</f>
        <v>0</v>
      </c>
      <c r="L136" s="25"/>
      <c r="M136" s="26">
        <f>K136</f>
        <v>0</v>
      </c>
      <c r="O136" s="357"/>
    </row>
    <row r="137" spans="1:16" s="27" customFormat="1" ht="25.5" x14ac:dyDescent="0.25">
      <c r="A137" s="42">
        <f t="shared" si="12"/>
        <v>127</v>
      </c>
      <c r="B137" s="15"/>
      <c r="C137" s="314" t="s">
        <v>11</v>
      </c>
      <c r="D137" s="315" t="s">
        <v>25</v>
      </c>
      <c r="E137" s="316" t="s">
        <v>10</v>
      </c>
      <c r="F137" s="317">
        <v>0.25</v>
      </c>
      <c r="G137" s="9">
        <f>G134*F137</f>
        <v>40.130000000000003</v>
      </c>
      <c r="H137" s="3"/>
      <c r="I137" s="24"/>
      <c r="J137" s="25">
        <f>H137</f>
        <v>0</v>
      </c>
      <c r="K137" s="25">
        <f>G137*H137</f>
        <v>0</v>
      </c>
      <c r="L137" s="25"/>
      <c r="M137" s="26">
        <f>K137</f>
        <v>0</v>
      </c>
      <c r="O137" s="357"/>
    </row>
    <row r="138" spans="1:16" s="27" customFormat="1" ht="25.5" x14ac:dyDescent="0.25">
      <c r="A138" s="43">
        <f t="shared" si="11"/>
        <v>128</v>
      </c>
      <c r="B138" s="14" t="s">
        <v>113</v>
      </c>
      <c r="C138" s="8" t="s">
        <v>17</v>
      </c>
      <c r="D138" s="5" t="s">
        <v>22</v>
      </c>
      <c r="E138" s="6" t="s">
        <v>12</v>
      </c>
      <c r="F138" s="7">
        <v>1</v>
      </c>
      <c r="G138" s="18">
        <f>36.5*15+13.9*15</f>
        <v>756</v>
      </c>
      <c r="H138" s="2"/>
      <c r="I138" s="4"/>
      <c r="J138" s="21">
        <f>I138</f>
        <v>0</v>
      </c>
      <c r="K138" s="21"/>
      <c r="L138" s="21">
        <f>G138*I138</f>
        <v>0</v>
      </c>
      <c r="M138" s="22">
        <f>L138</f>
        <v>0</v>
      </c>
      <c r="O138" s="357"/>
    </row>
    <row r="139" spans="1:16" s="27" customFormat="1" ht="25.5" x14ac:dyDescent="0.25">
      <c r="A139" s="42">
        <f t="shared" si="11"/>
        <v>129</v>
      </c>
      <c r="B139" s="15" t="s">
        <v>65</v>
      </c>
      <c r="C139" s="314" t="s">
        <v>66</v>
      </c>
      <c r="D139" s="315" t="s">
        <v>25</v>
      </c>
      <c r="E139" s="316" t="s">
        <v>8</v>
      </c>
      <c r="F139" s="317">
        <v>1.07</v>
      </c>
      <c r="G139" s="9">
        <f>G138*0.1*F139</f>
        <v>80.89</v>
      </c>
      <c r="H139" s="3"/>
      <c r="I139" s="24"/>
      <c r="J139" s="25">
        <f>H139</f>
        <v>0</v>
      </c>
      <c r="K139" s="25">
        <f>G139*H139</f>
        <v>0</v>
      </c>
      <c r="L139" s="25"/>
      <c r="M139" s="26">
        <f>K139</f>
        <v>0</v>
      </c>
      <c r="O139" s="357"/>
    </row>
    <row r="140" spans="1:16" s="27" customFormat="1" ht="25.5" x14ac:dyDescent="0.25">
      <c r="A140" s="42">
        <f t="shared" si="11"/>
        <v>130</v>
      </c>
      <c r="B140" s="15"/>
      <c r="C140" s="314" t="s">
        <v>9</v>
      </c>
      <c r="D140" s="315" t="s">
        <v>25</v>
      </c>
      <c r="E140" s="316" t="s">
        <v>10</v>
      </c>
      <c r="F140" s="317">
        <v>12</v>
      </c>
      <c r="G140" s="9">
        <f>G138*0.1*F140</f>
        <v>907.2</v>
      </c>
      <c r="H140" s="3"/>
      <c r="I140" s="24"/>
      <c r="J140" s="25">
        <f>H140</f>
        <v>0</v>
      </c>
      <c r="K140" s="25">
        <f>G140*H140</f>
        <v>0</v>
      </c>
      <c r="L140" s="25"/>
      <c r="M140" s="26">
        <f>K140</f>
        <v>0</v>
      </c>
      <c r="O140" s="357"/>
    </row>
    <row r="141" spans="1:16" s="27" customFormat="1" ht="25.5" x14ac:dyDescent="0.25">
      <c r="A141" s="42">
        <f t="shared" si="11"/>
        <v>131</v>
      </c>
      <c r="B141" s="15"/>
      <c r="C141" s="314" t="s">
        <v>11</v>
      </c>
      <c r="D141" s="315" t="s">
        <v>25</v>
      </c>
      <c r="E141" s="316" t="s">
        <v>10</v>
      </c>
      <c r="F141" s="317">
        <v>0.25</v>
      </c>
      <c r="G141" s="9">
        <f>G138*0.1*F141</f>
        <v>18.899999999999999</v>
      </c>
      <c r="H141" s="3"/>
      <c r="I141" s="24"/>
      <c r="J141" s="25">
        <f>H141</f>
        <v>0</v>
      </c>
      <c r="K141" s="25">
        <f>G141*H141</f>
        <v>0</v>
      </c>
      <c r="L141" s="25"/>
      <c r="M141" s="26">
        <f>K141</f>
        <v>0</v>
      </c>
      <c r="O141" s="357"/>
    </row>
    <row r="142" spans="1:16" s="27" customFormat="1" ht="12.75" x14ac:dyDescent="0.25">
      <c r="A142" s="43">
        <f t="shared" si="12"/>
        <v>132</v>
      </c>
      <c r="B142" s="14" t="s">
        <v>113</v>
      </c>
      <c r="C142" s="8" t="s">
        <v>76</v>
      </c>
      <c r="D142" s="5" t="s">
        <v>22</v>
      </c>
      <c r="E142" s="6" t="s">
        <v>12</v>
      </c>
      <c r="F142" s="7">
        <v>1</v>
      </c>
      <c r="G142" s="18">
        <f>6.9*15</f>
        <v>103.5</v>
      </c>
      <c r="H142" s="2"/>
      <c r="I142" s="4"/>
      <c r="J142" s="21">
        <f>I142</f>
        <v>0</v>
      </c>
      <c r="K142" s="21"/>
      <c r="L142" s="21">
        <f>G142*I142</f>
        <v>0</v>
      </c>
      <c r="M142" s="22">
        <f>L142</f>
        <v>0</v>
      </c>
      <c r="O142" s="357"/>
    </row>
    <row r="143" spans="1:16" s="27" customFormat="1" ht="25.5" x14ac:dyDescent="0.25">
      <c r="A143" s="42">
        <f t="shared" si="12"/>
        <v>133</v>
      </c>
      <c r="B143" s="15"/>
      <c r="C143" s="314" t="s">
        <v>130</v>
      </c>
      <c r="D143" s="315" t="s">
        <v>25</v>
      </c>
      <c r="E143" s="316" t="s">
        <v>14</v>
      </c>
      <c r="F143" s="317">
        <v>0.3</v>
      </c>
      <c r="G143" s="9">
        <f>G142*0.1*F143</f>
        <v>3.11</v>
      </c>
      <c r="H143" s="3"/>
      <c r="I143" s="24"/>
      <c r="J143" s="25">
        <f>H143</f>
        <v>0</v>
      </c>
      <c r="K143" s="25">
        <f>G143*H143</f>
        <v>0</v>
      </c>
      <c r="L143" s="25"/>
      <c r="M143" s="26">
        <f>K143</f>
        <v>0</v>
      </c>
      <c r="O143" s="357"/>
    </row>
    <row r="144" spans="1:16" s="27" customFormat="1" ht="25.5" x14ac:dyDescent="0.25">
      <c r="A144" s="42">
        <f t="shared" si="12"/>
        <v>134</v>
      </c>
      <c r="B144" s="15"/>
      <c r="C144" s="314" t="s">
        <v>13</v>
      </c>
      <c r="D144" s="315" t="s">
        <v>25</v>
      </c>
      <c r="E144" s="316" t="s">
        <v>14</v>
      </c>
      <c r="F144" s="317">
        <v>0.1</v>
      </c>
      <c r="G144" s="9">
        <f>G142*0.1*F144</f>
        <v>1.04</v>
      </c>
      <c r="H144" s="3"/>
      <c r="I144" s="24"/>
      <c r="J144" s="25">
        <f>H144</f>
        <v>0</v>
      </c>
      <c r="K144" s="25">
        <f>G144*H144</f>
        <v>0</v>
      </c>
      <c r="L144" s="25"/>
      <c r="M144" s="26">
        <f>K144</f>
        <v>0</v>
      </c>
      <c r="O144" s="357"/>
    </row>
    <row r="145" spans="1:16" s="23" customFormat="1" ht="12.75" x14ac:dyDescent="0.25">
      <c r="A145" s="297">
        <f>ROW()-10</f>
        <v>135</v>
      </c>
      <c r="B145" s="298" t="s">
        <v>84</v>
      </c>
      <c r="C145" s="299" t="s">
        <v>125</v>
      </c>
      <c r="D145" s="48"/>
      <c r="E145" s="300"/>
      <c r="F145" s="301"/>
      <c r="G145" s="302"/>
      <c r="H145" s="49"/>
      <c r="I145" s="50"/>
      <c r="J145" s="51"/>
      <c r="K145" s="51"/>
      <c r="L145" s="51"/>
      <c r="M145" s="52"/>
      <c r="N145" s="27"/>
      <c r="O145" s="357"/>
      <c r="P145" s="27"/>
    </row>
    <row r="146" spans="1:16" s="44" customFormat="1" ht="25.5" customHeight="1" x14ac:dyDescent="0.25">
      <c r="A146" s="305">
        <f>ROW()-10</f>
        <v>136</v>
      </c>
      <c r="B146" s="306" t="s">
        <v>87</v>
      </c>
      <c r="C146" s="307" t="s">
        <v>88</v>
      </c>
      <c r="D146" s="36"/>
      <c r="E146" s="308"/>
      <c r="F146" s="309"/>
      <c r="G146" s="310"/>
      <c r="H146" s="39"/>
      <c r="I146" s="37"/>
      <c r="J146" s="28"/>
      <c r="K146" s="28"/>
      <c r="L146" s="28"/>
      <c r="M146" s="40"/>
      <c r="N146" s="23"/>
      <c r="O146" s="354"/>
      <c r="P146" s="23"/>
    </row>
    <row r="147" spans="1:16" s="23" customFormat="1" ht="12.75" x14ac:dyDescent="0.25">
      <c r="A147" s="319">
        <f t="shared" ref="A147:A156" si="13">ROW()-10</f>
        <v>137</v>
      </c>
      <c r="B147" s="320" t="s">
        <v>96</v>
      </c>
      <c r="C147" s="321" t="s">
        <v>97</v>
      </c>
      <c r="D147" s="322" t="s">
        <v>22</v>
      </c>
      <c r="E147" s="323" t="s">
        <v>8</v>
      </c>
      <c r="F147" s="143">
        <v>1</v>
      </c>
      <c r="G147" s="313">
        <v>44.8</v>
      </c>
      <c r="H147" s="2"/>
      <c r="I147" s="4"/>
      <c r="J147" s="21">
        <f>I147</f>
        <v>0</v>
      </c>
      <c r="K147" s="21"/>
      <c r="L147" s="21">
        <f>G147*I147</f>
        <v>0</v>
      </c>
      <c r="M147" s="22">
        <f>L147</f>
        <v>0</v>
      </c>
      <c r="N147" s="44"/>
      <c r="O147" s="355"/>
      <c r="P147" s="44"/>
    </row>
    <row r="148" spans="1:16" s="68" customFormat="1" ht="25.5" x14ac:dyDescent="0.25">
      <c r="A148" s="324">
        <f t="shared" si="13"/>
        <v>138</v>
      </c>
      <c r="B148" s="325"/>
      <c r="C148" s="314" t="s">
        <v>120</v>
      </c>
      <c r="D148" s="315" t="s">
        <v>25</v>
      </c>
      <c r="E148" s="316" t="s">
        <v>12</v>
      </c>
      <c r="F148" s="317">
        <v>1.1000000000000001</v>
      </c>
      <c r="G148" s="318">
        <f>G147*11*F148</f>
        <v>542.08000000000004</v>
      </c>
      <c r="H148" s="3"/>
      <c r="I148" s="24"/>
      <c r="J148" s="25">
        <f>H148</f>
        <v>0</v>
      </c>
      <c r="K148" s="25">
        <f>G148*H148</f>
        <v>0</v>
      </c>
      <c r="L148" s="25"/>
      <c r="M148" s="26">
        <f>K148</f>
        <v>0</v>
      </c>
      <c r="O148" s="356"/>
    </row>
    <row r="149" spans="1:16" s="23" customFormat="1" ht="12.75" x14ac:dyDescent="0.25">
      <c r="A149" s="43">
        <f t="shared" si="13"/>
        <v>139</v>
      </c>
      <c r="B149" s="14" t="s">
        <v>99</v>
      </c>
      <c r="C149" s="55" t="s">
        <v>100</v>
      </c>
      <c r="D149" s="5" t="s">
        <v>22</v>
      </c>
      <c r="E149" s="6" t="s">
        <v>8</v>
      </c>
      <c r="F149" s="7">
        <v>1</v>
      </c>
      <c r="G149" s="313">
        <v>18</v>
      </c>
      <c r="H149" s="2"/>
      <c r="I149" s="4"/>
      <c r="J149" s="21">
        <f>I149</f>
        <v>0</v>
      </c>
      <c r="K149" s="21"/>
      <c r="L149" s="21">
        <f>G149*I149</f>
        <v>0</v>
      </c>
      <c r="M149" s="22">
        <f>L149</f>
        <v>0</v>
      </c>
      <c r="O149" s="354"/>
    </row>
    <row r="150" spans="1:16" s="68" customFormat="1" ht="25.5" x14ac:dyDescent="0.25">
      <c r="A150" s="42">
        <f t="shared" si="13"/>
        <v>140</v>
      </c>
      <c r="B150" s="15"/>
      <c r="C150" s="326" t="s">
        <v>13</v>
      </c>
      <c r="D150" s="315" t="s">
        <v>25</v>
      </c>
      <c r="E150" s="316" t="s">
        <v>14</v>
      </c>
      <c r="F150" s="317">
        <v>0.1</v>
      </c>
      <c r="G150" s="318">
        <f>G149*F150</f>
        <v>1.8</v>
      </c>
      <c r="H150" s="3"/>
      <c r="I150" s="24"/>
      <c r="J150" s="25">
        <f>H150</f>
        <v>0</v>
      </c>
      <c r="K150" s="25">
        <f>G150*H150</f>
        <v>0</v>
      </c>
      <c r="L150" s="25"/>
      <c r="M150" s="26">
        <f>K150</f>
        <v>0</v>
      </c>
      <c r="O150" s="356"/>
    </row>
    <row r="151" spans="1:16" s="68" customFormat="1" ht="25.5" x14ac:dyDescent="0.25">
      <c r="A151" s="42">
        <f t="shared" si="13"/>
        <v>141</v>
      </c>
      <c r="B151" s="15"/>
      <c r="C151" s="326" t="s">
        <v>101</v>
      </c>
      <c r="D151" s="315" t="s">
        <v>25</v>
      </c>
      <c r="E151" s="316" t="s">
        <v>10</v>
      </c>
      <c r="F151" s="317">
        <v>1.2</v>
      </c>
      <c r="G151" s="318">
        <f>G149*F151</f>
        <v>21.6</v>
      </c>
      <c r="H151" s="3"/>
      <c r="I151" s="24"/>
      <c r="J151" s="25">
        <f>H151</f>
        <v>0</v>
      </c>
      <c r="K151" s="25">
        <f>G151*H151</f>
        <v>0</v>
      </c>
      <c r="L151" s="25"/>
      <c r="M151" s="26">
        <f>K151</f>
        <v>0</v>
      </c>
      <c r="O151" s="356"/>
    </row>
    <row r="152" spans="1:16" s="68" customFormat="1" ht="25.5" x14ac:dyDescent="0.25">
      <c r="A152" s="42">
        <f t="shared" si="13"/>
        <v>142</v>
      </c>
      <c r="B152" s="15"/>
      <c r="C152" s="314" t="s">
        <v>23</v>
      </c>
      <c r="D152" s="315" t="s">
        <v>25</v>
      </c>
      <c r="E152" s="316" t="s">
        <v>10</v>
      </c>
      <c r="F152" s="317">
        <v>1.7</v>
      </c>
      <c r="G152" s="318">
        <f>G149*F152</f>
        <v>30.6</v>
      </c>
      <c r="H152" s="3"/>
      <c r="I152" s="24"/>
      <c r="J152" s="25">
        <f>H152</f>
        <v>0</v>
      </c>
      <c r="K152" s="25">
        <f>G152*H152</f>
        <v>0</v>
      </c>
      <c r="L152" s="25"/>
      <c r="M152" s="26">
        <f>K152</f>
        <v>0</v>
      </c>
      <c r="O152" s="356"/>
    </row>
    <row r="153" spans="1:16" s="23" customFormat="1" ht="38.25" x14ac:dyDescent="0.25">
      <c r="A153" s="43">
        <f t="shared" si="13"/>
        <v>143</v>
      </c>
      <c r="B153" s="14" t="s">
        <v>102</v>
      </c>
      <c r="C153" s="8" t="s">
        <v>103</v>
      </c>
      <c r="D153" s="5" t="s">
        <v>22</v>
      </c>
      <c r="E153" s="6" t="s">
        <v>8</v>
      </c>
      <c r="F153" s="7">
        <v>1</v>
      </c>
      <c r="G153" s="313">
        <f>G147+G149</f>
        <v>62.8</v>
      </c>
      <c r="H153" s="2"/>
      <c r="I153" s="4"/>
      <c r="J153" s="21">
        <f>I153</f>
        <v>0</v>
      </c>
      <c r="K153" s="21"/>
      <c r="L153" s="21">
        <f>G153*I153</f>
        <v>0</v>
      </c>
      <c r="M153" s="22">
        <f>L153</f>
        <v>0</v>
      </c>
      <c r="O153" s="354"/>
    </row>
    <row r="154" spans="1:16" s="68" customFormat="1" ht="25.5" x14ac:dyDescent="0.25">
      <c r="A154" s="42">
        <f t="shared" si="13"/>
        <v>144</v>
      </c>
      <c r="B154" s="15"/>
      <c r="C154" s="314" t="s">
        <v>13</v>
      </c>
      <c r="D154" s="315" t="s">
        <v>25</v>
      </c>
      <c r="E154" s="316" t="s">
        <v>14</v>
      </c>
      <c r="F154" s="317">
        <v>0.1</v>
      </c>
      <c r="G154" s="318">
        <f>G153*F154</f>
        <v>6.28</v>
      </c>
      <c r="H154" s="3"/>
      <c r="I154" s="24"/>
      <c r="J154" s="25">
        <f>H154</f>
        <v>0</v>
      </c>
      <c r="K154" s="25">
        <f>G154*H154</f>
        <v>0</v>
      </c>
      <c r="L154" s="25"/>
      <c r="M154" s="26">
        <f>K154</f>
        <v>0</v>
      </c>
      <c r="O154" s="356"/>
    </row>
    <row r="155" spans="1:16" s="70" customFormat="1" ht="25.5" x14ac:dyDescent="0.25">
      <c r="A155" s="42">
        <f t="shared" si="13"/>
        <v>145</v>
      </c>
      <c r="B155" s="38"/>
      <c r="C155" s="314" t="s">
        <v>118</v>
      </c>
      <c r="D155" s="315" t="s">
        <v>25</v>
      </c>
      <c r="E155" s="316" t="s">
        <v>14</v>
      </c>
      <c r="F155" s="317">
        <v>0.3</v>
      </c>
      <c r="G155" s="318">
        <f>18*F155</f>
        <v>5.4</v>
      </c>
      <c r="H155" s="3"/>
      <c r="I155" s="24"/>
      <c r="J155" s="25">
        <f>H155</f>
        <v>0</v>
      </c>
      <c r="K155" s="25">
        <f>G155*H155</f>
        <v>0</v>
      </c>
      <c r="L155" s="25"/>
      <c r="M155" s="26">
        <f>K155</f>
        <v>0</v>
      </c>
      <c r="N155" s="68"/>
      <c r="O155" s="356"/>
      <c r="P155" s="68"/>
    </row>
    <row r="156" spans="1:16" s="70" customFormat="1" ht="51" x14ac:dyDescent="0.25">
      <c r="A156" s="42">
        <f t="shared" si="13"/>
        <v>146</v>
      </c>
      <c r="B156" s="38" t="s">
        <v>121</v>
      </c>
      <c r="C156" s="314" t="s">
        <v>106</v>
      </c>
      <c r="D156" s="315" t="s">
        <v>25</v>
      </c>
      <c r="E156" s="316" t="s">
        <v>14</v>
      </c>
      <c r="F156" s="317">
        <v>0.3</v>
      </c>
      <c r="G156" s="318">
        <f>(44.8+62.04*0.2)*F156</f>
        <v>17.16</v>
      </c>
      <c r="H156" s="3"/>
      <c r="I156" s="24"/>
      <c r="J156" s="25">
        <f>H156</f>
        <v>0</v>
      </c>
      <c r="K156" s="25">
        <f>G156*H156</f>
        <v>0</v>
      </c>
      <c r="L156" s="25"/>
      <c r="M156" s="26">
        <f>K156</f>
        <v>0</v>
      </c>
      <c r="O156" s="358"/>
    </row>
    <row r="157" spans="1:16" s="44" customFormat="1" ht="25.5" customHeight="1" x14ac:dyDescent="0.25">
      <c r="A157" s="256">
        <f>ROW()-10</f>
        <v>147</v>
      </c>
      <c r="B157" s="306" t="s">
        <v>110</v>
      </c>
      <c r="C157" s="307" t="s">
        <v>109</v>
      </c>
      <c r="D157" s="36"/>
      <c r="E157" s="308"/>
      <c r="F157" s="309"/>
      <c r="G157" s="310"/>
      <c r="H157" s="39"/>
      <c r="I157" s="37"/>
      <c r="J157" s="28"/>
      <c r="K157" s="28"/>
      <c r="L157" s="28"/>
      <c r="M157" s="40"/>
      <c r="N157" s="19"/>
      <c r="O157" s="360"/>
      <c r="P157" s="19"/>
    </row>
    <row r="158" spans="1:16" s="27" customFormat="1" ht="12.75" x14ac:dyDescent="0.25">
      <c r="A158" s="43">
        <f t="shared" ref="A158:A177" si="14">ROW()-10</f>
        <v>148</v>
      </c>
      <c r="B158" s="14" t="s">
        <v>110</v>
      </c>
      <c r="C158" s="55" t="s">
        <v>21</v>
      </c>
      <c r="D158" s="5" t="s">
        <v>22</v>
      </c>
      <c r="E158" s="6" t="s">
        <v>8</v>
      </c>
      <c r="F158" s="7">
        <v>1</v>
      </c>
      <c r="G158" s="18">
        <f>144.12</f>
        <v>144.12</v>
      </c>
      <c r="H158" s="2"/>
      <c r="I158" s="4"/>
      <c r="J158" s="21">
        <f>I158</f>
        <v>0</v>
      </c>
      <c r="K158" s="21"/>
      <c r="L158" s="21">
        <f>G158*I158</f>
        <v>0</v>
      </c>
      <c r="M158" s="22">
        <f>L158</f>
        <v>0</v>
      </c>
      <c r="N158" s="44"/>
      <c r="O158" s="355"/>
      <c r="P158" s="44"/>
    </row>
    <row r="159" spans="1:16" s="27" customFormat="1" ht="25.5" x14ac:dyDescent="0.25">
      <c r="A159" s="42">
        <f t="shared" si="14"/>
        <v>149</v>
      </c>
      <c r="B159" s="15"/>
      <c r="C159" s="326" t="s">
        <v>13</v>
      </c>
      <c r="D159" s="315" t="s">
        <v>25</v>
      </c>
      <c r="E159" s="316" t="s">
        <v>14</v>
      </c>
      <c r="F159" s="317">
        <v>0.1</v>
      </c>
      <c r="G159" s="9">
        <f>G158*F159</f>
        <v>14.41</v>
      </c>
      <c r="H159" s="3"/>
      <c r="I159" s="24"/>
      <c r="J159" s="25">
        <f>H159</f>
        <v>0</v>
      </c>
      <c r="K159" s="25">
        <f>G159*H159</f>
        <v>0</v>
      </c>
      <c r="L159" s="25"/>
      <c r="M159" s="26">
        <f>K159</f>
        <v>0</v>
      </c>
      <c r="O159" s="357"/>
    </row>
    <row r="160" spans="1:16" s="27" customFormat="1" ht="25.5" x14ac:dyDescent="0.25">
      <c r="A160" s="42">
        <f t="shared" si="14"/>
        <v>150</v>
      </c>
      <c r="B160" s="15"/>
      <c r="C160" s="326" t="s">
        <v>52</v>
      </c>
      <c r="D160" s="315" t="s">
        <v>25</v>
      </c>
      <c r="E160" s="316" t="s">
        <v>10</v>
      </c>
      <c r="F160" s="317">
        <v>1.2</v>
      </c>
      <c r="G160" s="9">
        <f>G158*F160</f>
        <v>172.94</v>
      </c>
      <c r="H160" s="3"/>
      <c r="I160" s="53"/>
      <c r="J160" s="25">
        <f>H160</f>
        <v>0</v>
      </c>
      <c r="K160" s="25">
        <f>G160*H160</f>
        <v>0</v>
      </c>
      <c r="L160" s="25"/>
      <c r="M160" s="26">
        <f>K160</f>
        <v>0</v>
      </c>
      <c r="O160" s="357"/>
    </row>
    <row r="161" spans="1:16" s="27" customFormat="1" ht="25.5" x14ac:dyDescent="0.25">
      <c r="A161" s="42">
        <f t="shared" si="14"/>
        <v>151</v>
      </c>
      <c r="B161" s="15"/>
      <c r="C161" s="314" t="s">
        <v>23</v>
      </c>
      <c r="D161" s="315" t="s">
        <v>25</v>
      </c>
      <c r="E161" s="316" t="s">
        <v>10</v>
      </c>
      <c r="F161" s="317">
        <v>1.7</v>
      </c>
      <c r="G161" s="9">
        <f>G158*F161</f>
        <v>245</v>
      </c>
      <c r="H161" s="3"/>
      <c r="I161" s="24"/>
      <c r="J161" s="25">
        <f>H161</f>
        <v>0</v>
      </c>
      <c r="K161" s="25">
        <f>G161*H161</f>
        <v>0</v>
      </c>
      <c r="L161" s="25"/>
      <c r="M161" s="26">
        <f>K161</f>
        <v>0</v>
      </c>
      <c r="O161" s="357"/>
    </row>
    <row r="162" spans="1:16" s="27" customFormat="1" ht="45" customHeight="1" x14ac:dyDescent="0.25">
      <c r="A162" s="43">
        <f t="shared" si="14"/>
        <v>152</v>
      </c>
      <c r="B162" s="14" t="s">
        <v>110</v>
      </c>
      <c r="C162" s="54" t="s">
        <v>18</v>
      </c>
      <c r="D162" s="5" t="s">
        <v>22</v>
      </c>
      <c r="E162" s="6" t="s">
        <v>8</v>
      </c>
      <c r="F162" s="7">
        <v>1</v>
      </c>
      <c r="G162" s="18">
        <f>20.89</f>
        <v>20.89</v>
      </c>
      <c r="H162" s="2"/>
      <c r="I162" s="4"/>
      <c r="J162" s="21">
        <f>I162</f>
        <v>0</v>
      </c>
      <c r="K162" s="21"/>
      <c r="L162" s="21">
        <f>G162*I162</f>
        <v>0</v>
      </c>
      <c r="M162" s="22">
        <f>L162</f>
        <v>0</v>
      </c>
      <c r="O162" s="357"/>
    </row>
    <row r="163" spans="1:16" s="68" customFormat="1" ht="25.5" x14ac:dyDescent="0.25">
      <c r="A163" s="42">
        <f t="shared" si="14"/>
        <v>153</v>
      </c>
      <c r="B163" s="15"/>
      <c r="C163" s="314" t="s">
        <v>58</v>
      </c>
      <c r="D163" s="315" t="s">
        <v>25</v>
      </c>
      <c r="E163" s="316" t="s">
        <v>8</v>
      </c>
      <c r="F163" s="317">
        <v>1.07</v>
      </c>
      <c r="G163" s="318">
        <f>G162*F163</f>
        <v>22.35</v>
      </c>
      <c r="H163" s="3"/>
      <c r="I163" s="24"/>
      <c r="J163" s="25">
        <f>H163</f>
        <v>0</v>
      </c>
      <c r="K163" s="25">
        <f>G163*H163</f>
        <v>0</v>
      </c>
      <c r="L163" s="25"/>
      <c r="M163" s="26">
        <f>K163</f>
        <v>0</v>
      </c>
      <c r="N163" s="27"/>
      <c r="O163" s="357"/>
      <c r="P163" s="27"/>
    </row>
    <row r="164" spans="1:16" s="68" customFormat="1" ht="25.5" x14ac:dyDescent="0.25">
      <c r="A164" s="42">
        <f t="shared" si="14"/>
        <v>154</v>
      </c>
      <c r="B164" s="15"/>
      <c r="C164" s="314" t="s">
        <v>9</v>
      </c>
      <c r="D164" s="315" t="s">
        <v>25</v>
      </c>
      <c r="E164" s="316" t="s">
        <v>10</v>
      </c>
      <c r="F164" s="317">
        <v>12</v>
      </c>
      <c r="G164" s="318">
        <f>G162*0.3*F164</f>
        <v>75.2</v>
      </c>
      <c r="H164" s="3"/>
      <c r="I164" s="24"/>
      <c r="J164" s="25">
        <f>H164</f>
        <v>0</v>
      </c>
      <c r="K164" s="25">
        <f>G164*H164</f>
        <v>0</v>
      </c>
      <c r="L164" s="25"/>
      <c r="M164" s="26">
        <f>K164</f>
        <v>0</v>
      </c>
      <c r="O164" s="356"/>
    </row>
    <row r="165" spans="1:16" s="68" customFormat="1" ht="25.5" x14ac:dyDescent="0.25">
      <c r="A165" s="42">
        <f t="shared" si="14"/>
        <v>155</v>
      </c>
      <c r="B165" s="15"/>
      <c r="C165" s="314" t="s">
        <v>11</v>
      </c>
      <c r="D165" s="315" t="s">
        <v>25</v>
      </c>
      <c r="E165" s="316" t="s">
        <v>10</v>
      </c>
      <c r="F165" s="317">
        <v>0.25</v>
      </c>
      <c r="G165" s="318">
        <f>G162*0.3*F165</f>
        <v>1.57</v>
      </c>
      <c r="H165" s="3"/>
      <c r="I165" s="24"/>
      <c r="J165" s="25">
        <f>H165</f>
        <v>0</v>
      </c>
      <c r="K165" s="25">
        <f>G165*H165</f>
        <v>0</v>
      </c>
      <c r="L165" s="25"/>
      <c r="M165" s="26">
        <f>K165</f>
        <v>0</v>
      </c>
      <c r="O165" s="356"/>
    </row>
    <row r="166" spans="1:16" s="68" customFormat="1" ht="25.5" x14ac:dyDescent="0.25">
      <c r="A166" s="42">
        <f t="shared" si="14"/>
        <v>156</v>
      </c>
      <c r="B166" s="15"/>
      <c r="C166" s="314" t="s">
        <v>46</v>
      </c>
      <c r="D166" s="315" t="s">
        <v>25</v>
      </c>
      <c r="E166" s="316" t="s">
        <v>12</v>
      </c>
      <c r="F166" s="317">
        <v>1.1000000000000001</v>
      </c>
      <c r="G166" s="318">
        <f>9.18*F166</f>
        <v>10.1</v>
      </c>
      <c r="H166" s="3"/>
      <c r="I166" s="24"/>
      <c r="J166" s="25">
        <f>H166</f>
        <v>0</v>
      </c>
      <c r="K166" s="25">
        <f>G166*H166</f>
        <v>0</v>
      </c>
      <c r="L166" s="25"/>
      <c r="M166" s="26">
        <f>K166</f>
        <v>0</v>
      </c>
      <c r="O166" s="356"/>
    </row>
    <row r="167" spans="1:16" s="27" customFormat="1" ht="12.75" x14ac:dyDescent="0.25">
      <c r="A167" s="43">
        <f t="shared" si="14"/>
        <v>157</v>
      </c>
      <c r="B167" s="14" t="s">
        <v>110</v>
      </c>
      <c r="C167" s="8" t="s">
        <v>19</v>
      </c>
      <c r="D167" s="5" t="s">
        <v>22</v>
      </c>
      <c r="E167" s="6" t="s">
        <v>8</v>
      </c>
      <c r="F167" s="7">
        <v>1</v>
      </c>
      <c r="G167" s="18">
        <f>G158</f>
        <v>144.12</v>
      </c>
      <c r="H167" s="2"/>
      <c r="I167" s="4"/>
      <c r="J167" s="21">
        <f>I167</f>
        <v>0</v>
      </c>
      <c r="K167" s="21"/>
      <c r="L167" s="21">
        <f>G167*I167</f>
        <v>0</v>
      </c>
      <c r="M167" s="22">
        <f>L167</f>
        <v>0</v>
      </c>
      <c r="N167" s="23"/>
      <c r="O167" s="354"/>
      <c r="P167" s="23"/>
    </row>
    <row r="168" spans="1:16" s="68" customFormat="1" ht="25.5" x14ac:dyDescent="0.25">
      <c r="A168" s="42">
        <f t="shared" si="14"/>
        <v>158</v>
      </c>
      <c r="B168" s="15"/>
      <c r="C168" s="314" t="s">
        <v>13</v>
      </c>
      <c r="D168" s="315" t="s">
        <v>25</v>
      </c>
      <c r="E168" s="316" t="s">
        <v>14</v>
      </c>
      <c r="F168" s="317">
        <v>0.1</v>
      </c>
      <c r="G168" s="318">
        <f>G167*F168</f>
        <v>14.41</v>
      </c>
      <c r="H168" s="3"/>
      <c r="I168" s="24"/>
      <c r="J168" s="25">
        <f>H168</f>
        <v>0</v>
      </c>
      <c r="K168" s="25">
        <f>G168*H168</f>
        <v>0</v>
      </c>
      <c r="L168" s="25"/>
      <c r="M168" s="26">
        <f>K168</f>
        <v>0</v>
      </c>
      <c r="N168" s="27"/>
      <c r="O168" s="357"/>
      <c r="P168" s="27"/>
    </row>
    <row r="169" spans="1:16" s="68" customFormat="1" ht="25.5" x14ac:dyDescent="0.25">
      <c r="A169" s="42">
        <f t="shared" si="14"/>
        <v>159</v>
      </c>
      <c r="B169" s="15"/>
      <c r="C169" s="314" t="s">
        <v>104</v>
      </c>
      <c r="D169" s="315" t="s">
        <v>25</v>
      </c>
      <c r="E169" s="316" t="s">
        <v>14</v>
      </c>
      <c r="F169" s="317">
        <v>0.3</v>
      </c>
      <c r="G169" s="318">
        <f>123.32*F169</f>
        <v>37</v>
      </c>
      <c r="H169" s="3"/>
      <c r="I169" s="24"/>
      <c r="J169" s="25">
        <f>H169</f>
        <v>0</v>
      </c>
      <c r="K169" s="25">
        <f>G169*H169</f>
        <v>0</v>
      </c>
      <c r="L169" s="25"/>
      <c r="M169" s="26">
        <f>K169</f>
        <v>0</v>
      </c>
      <c r="O169" s="356"/>
    </row>
    <row r="170" spans="1:16" s="68" customFormat="1" ht="25.5" x14ac:dyDescent="0.25">
      <c r="A170" s="42">
        <f t="shared" si="14"/>
        <v>160</v>
      </c>
      <c r="B170" s="15"/>
      <c r="C170" s="314" t="s">
        <v>105</v>
      </c>
      <c r="D170" s="315" t="s">
        <v>25</v>
      </c>
      <c r="E170" s="316" t="s">
        <v>14</v>
      </c>
      <c r="F170" s="317">
        <v>0.3</v>
      </c>
      <c r="G170" s="318">
        <f>17.82*F170</f>
        <v>5.35</v>
      </c>
      <c r="H170" s="3"/>
      <c r="I170" s="24"/>
      <c r="J170" s="25">
        <f>H170</f>
        <v>0</v>
      </c>
      <c r="K170" s="25">
        <f>G170*H170</f>
        <v>0</v>
      </c>
      <c r="L170" s="25"/>
      <c r="M170" s="26">
        <f>K170</f>
        <v>0</v>
      </c>
      <c r="O170" s="356"/>
    </row>
    <row r="171" spans="1:16" s="68" customFormat="1" ht="25.5" x14ac:dyDescent="0.25">
      <c r="A171" s="42">
        <f t="shared" si="14"/>
        <v>161</v>
      </c>
      <c r="B171" s="15"/>
      <c r="C171" s="314" t="s">
        <v>106</v>
      </c>
      <c r="D171" s="315" t="s">
        <v>25</v>
      </c>
      <c r="E171" s="316" t="s">
        <v>14</v>
      </c>
      <c r="F171" s="317">
        <v>0.3</v>
      </c>
      <c r="G171" s="318">
        <f>2.99*F171</f>
        <v>0.9</v>
      </c>
      <c r="H171" s="3"/>
      <c r="I171" s="24"/>
      <c r="J171" s="25">
        <f>H171</f>
        <v>0</v>
      </c>
      <c r="K171" s="25">
        <f>G171*H171</f>
        <v>0</v>
      </c>
      <c r="L171" s="25"/>
      <c r="M171" s="26">
        <f>K171</f>
        <v>0</v>
      </c>
      <c r="O171" s="356"/>
    </row>
    <row r="172" spans="1:16" s="27" customFormat="1" ht="21.75" customHeight="1" x14ac:dyDescent="0.25">
      <c r="A172" s="43">
        <f t="shared" si="14"/>
        <v>162</v>
      </c>
      <c r="B172" s="14" t="s">
        <v>110</v>
      </c>
      <c r="C172" s="8" t="s">
        <v>20</v>
      </c>
      <c r="D172" s="5" t="s">
        <v>22</v>
      </c>
      <c r="E172" s="6" t="s">
        <v>24</v>
      </c>
      <c r="F172" s="7">
        <v>1</v>
      </c>
      <c r="G172" s="18">
        <f>57.88</f>
        <v>57.88</v>
      </c>
      <c r="H172" s="2"/>
      <c r="I172" s="4"/>
      <c r="J172" s="21">
        <f>I172</f>
        <v>0</v>
      </c>
      <c r="K172" s="21"/>
      <c r="L172" s="21">
        <f>G172*I172</f>
        <v>0</v>
      </c>
      <c r="M172" s="22">
        <f>L172</f>
        <v>0</v>
      </c>
      <c r="N172" s="23"/>
      <c r="O172" s="354"/>
      <c r="P172" s="23"/>
    </row>
    <row r="173" spans="1:16" s="27" customFormat="1" ht="25.5" customHeight="1" x14ac:dyDescent="0.25">
      <c r="A173" s="42">
        <f t="shared" si="14"/>
        <v>163</v>
      </c>
      <c r="B173" s="15"/>
      <c r="C173" s="314" t="s">
        <v>32</v>
      </c>
      <c r="D173" s="315" t="s">
        <v>25</v>
      </c>
      <c r="E173" s="328" t="s">
        <v>10</v>
      </c>
      <c r="F173" s="329">
        <v>0.05</v>
      </c>
      <c r="G173" s="318">
        <f>G172*0.2*F173</f>
        <v>0.57999999999999996</v>
      </c>
      <c r="H173" s="3"/>
      <c r="I173" s="24"/>
      <c r="J173" s="25">
        <f>H173</f>
        <v>0</v>
      </c>
      <c r="K173" s="25">
        <f>G173*H173</f>
        <v>0</v>
      </c>
      <c r="L173" s="25"/>
      <c r="M173" s="26">
        <f>K173</f>
        <v>0</v>
      </c>
      <c r="O173" s="357"/>
    </row>
    <row r="174" spans="1:16" s="27" customFormat="1" ht="25.5" x14ac:dyDescent="0.25">
      <c r="A174" s="42">
        <f t="shared" si="14"/>
        <v>164</v>
      </c>
      <c r="B174" s="15"/>
      <c r="C174" s="314" t="s">
        <v>33</v>
      </c>
      <c r="D174" s="315" t="s">
        <v>25</v>
      </c>
      <c r="E174" s="328" t="s">
        <v>10</v>
      </c>
      <c r="F174" s="329">
        <v>10</v>
      </c>
      <c r="G174" s="318">
        <f>G172*0.2*F174</f>
        <v>115.76</v>
      </c>
      <c r="H174" s="3"/>
      <c r="I174" s="24"/>
      <c r="J174" s="25">
        <f>H174</f>
        <v>0</v>
      </c>
      <c r="K174" s="25">
        <f>G174*H174</f>
        <v>0</v>
      </c>
      <c r="L174" s="25"/>
      <c r="M174" s="26">
        <f>K174</f>
        <v>0</v>
      </c>
      <c r="O174" s="357"/>
    </row>
    <row r="175" spans="1:16" s="27" customFormat="1" ht="25.5" x14ac:dyDescent="0.25">
      <c r="A175" s="42">
        <f t="shared" si="14"/>
        <v>165</v>
      </c>
      <c r="B175" s="15"/>
      <c r="C175" s="314" t="s">
        <v>13</v>
      </c>
      <c r="D175" s="315" t="s">
        <v>25</v>
      </c>
      <c r="E175" s="316" t="s">
        <v>14</v>
      </c>
      <c r="F175" s="317">
        <v>0.1</v>
      </c>
      <c r="G175" s="318">
        <f>G172*0.2*F175</f>
        <v>1.1599999999999999</v>
      </c>
      <c r="H175" s="3"/>
      <c r="I175" s="24"/>
      <c r="J175" s="25">
        <f>H175</f>
        <v>0</v>
      </c>
      <c r="K175" s="25">
        <f>G175*H175</f>
        <v>0</v>
      </c>
      <c r="L175" s="25"/>
      <c r="M175" s="26">
        <f>K175</f>
        <v>0</v>
      </c>
      <c r="O175" s="357"/>
    </row>
    <row r="176" spans="1:16" s="27" customFormat="1" ht="25.5" x14ac:dyDescent="0.25">
      <c r="A176" s="42">
        <f t="shared" si="14"/>
        <v>166</v>
      </c>
      <c r="B176" s="15"/>
      <c r="C176" s="314" t="s">
        <v>23</v>
      </c>
      <c r="D176" s="330" t="s">
        <v>25</v>
      </c>
      <c r="E176" s="328" t="s">
        <v>10</v>
      </c>
      <c r="F176" s="329">
        <v>1.7</v>
      </c>
      <c r="G176" s="318">
        <f>G172*0.2*F176</f>
        <v>19.68</v>
      </c>
      <c r="H176" s="3"/>
      <c r="I176" s="24"/>
      <c r="J176" s="25">
        <f>H176</f>
        <v>0</v>
      </c>
      <c r="K176" s="25">
        <f>G176*H176</f>
        <v>0</v>
      </c>
      <c r="L176" s="25"/>
      <c r="M176" s="26">
        <f>K176</f>
        <v>0</v>
      </c>
      <c r="O176" s="357"/>
    </row>
    <row r="177" spans="1:16" s="68" customFormat="1" ht="25.5" x14ac:dyDescent="0.25">
      <c r="A177" s="42">
        <f t="shared" si="14"/>
        <v>167</v>
      </c>
      <c r="B177" s="15"/>
      <c r="C177" s="314" t="s">
        <v>104</v>
      </c>
      <c r="D177" s="315" t="s">
        <v>25</v>
      </c>
      <c r="E177" s="316" t="s">
        <v>14</v>
      </c>
      <c r="F177" s="317">
        <v>0.3</v>
      </c>
      <c r="G177" s="318">
        <f>57.88*0.2*F177</f>
        <v>3.47</v>
      </c>
      <c r="H177" s="3"/>
      <c r="I177" s="69"/>
      <c r="J177" s="25">
        <f>H177</f>
        <v>0</v>
      </c>
      <c r="K177" s="25">
        <f>G177*H177</f>
        <v>0</v>
      </c>
      <c r="L177" s="25"/>
      <c r="M177" s="26">
        <f>K177</f>
        <v>0</v>
      </c>
      <c r="N177" s="27"/>
      <c r="O177" s="357"/>
      <c r="P177" s="27"/>
    </row>
    <row r="178" spans="1:16" s="44" customFormat="1" ht="25.5" customHeight="1" x14ac:dyDescent="0.25">
      <c r="A178" s="305">
        <f>ROW()-10</f>
        <v>168</v>
      </c>
      <c r="B178" s="306" t="s">
        <v>113</v>
      </c>
      <c r="C178" s="307" t="s">
        <v>112</v>
      </c>
      <c r="D178" s="36"/>
      <c r="E178" s="308"/>
      <c r="F178" s="309"/>
      <c r="G178" s="310"/>
      <c r="H178" s="39"/>
      <c r="I178" s="37"/>
      <c r="J178" s="28"/>
      <c r="K178" s="28"/>
      <c r="L178" s="28"/>
      <c r="M178" s="40"/>
      <c r="N178" s="23"/>
      <c r="O178" s="354"/>
      <c r="P178" s="23"/>
    </row>
    <row r="179" spans="1:16" s="27" customFormat="1" ht="12.75" x14ac:dyDescent="0.25">
      <c r="A179" s="43">
        <f t="shared" ref="A179:A190" si="15">ROW()-10</f>
        <v>169</v>
      </c>
      <c r="B179" s="14" t="s">
        <v>113</v>
      </c>
      <c r="C179" s="8" t="s">
        <v>16</v>
      </c>
      <c r="D179" s="5" t="s">
        <v>22</v>
      </c>
      <c r="E179" s="6" t="s">
        <v>8</v>
      </c>
      <c r="F179" s="7">
        <v>1</v>
      </c>
      <c r="G179" s="18">
        <v>46.1</v>
      </c>
      <c r="H179" s="2"/>
      <c r="I179" s="4"/>
      <c r="J179" s="21">
        <f>I179</f>
        <v>0</v>
      </c>
      <c r="K179" s="21"/>
      <c r="L179" s="21">
        <f>G179*I179</f>
        <v>0</v>
      </c>
      <c r="M179" s="22">
        <f>L179</f>
        <v>0</v>
      </c>
      <c r="N179" s="44"/>
      <c r="O179" s="355"/>
      <c r="P179" s="44"/>
    </row>
    <row r="180" spans="1:16" s="27" customFormat="1" ht="25.5" x14ac:dyDescent="0.25">
      <c r="A180" s="41">
        <f t="shared" si="15"/>
        <v>170</v>
      </c>
      <c r="B180" s="38" t="s">
        <v>59</v>
      </c>
      <c r="C180" s="314" t="s">
        <v>58</v>
      </c>
      <c r="D180" s="315" t="s">
        <v>25</v>
      </c>
      <c r="E180" s="316" t="s">
        <v>8</v>
      </c>
      <c r="F180" s="317">
        <v>1.07</v>
      </c>
      <c r="G180" s="9">
        <f>G179*F180</f>
        <v>49.33</v>
      </c>
      <c r="H180" s="3"/>
      <c r="I180" s="24"/>
      <c r="J180" s="25">
        <f>H180</f>
        <v>0</v>
      </c>
      <c r="K180" s="25">
        <f>G180*H180</f>
        <v>0</v>
      </c>
      <c r="L180" s="25"/>
      <c r="M180" s="26">
        <f>K180</f>
        <v>0</v>
      </c>
      <c r="O180" s="357"/>
    </row>
    <row r="181" spans="1:16" s="27" customFormat="1" ht="25.5" x14ac:dyDescent="0.25">
      <c r="A181" s="42">
        <f t="shared" si="15"/>
        <v>171</v>
      </c>
      <c r="B181" s="15"/>
      <c r="C181" s="314" t="s">
        <v>9</v>
      </c>
      <c r="D181" s="315" t="s">
        <v>25</v>
      </c>
      <c r="E181" s="316" t="s">
        <v>10</v>
      </c>
      <c r="F181" s="317">
        <v>12</v>
      </c>
      <c r="G181" s="9">
        <f>G179*F181</f>
        <v>553.20000000000005</v>
      </c>
      <c r="H181" s="3"/>
      <c r="I181" s="24"/>
      <c r="J181" s="25">
        <f>H181</f>
        <v>0</v>
      </c>
      <c r="K181" s="25">
        <f>G181*H181</f>
        <v>0</v>
      </c>
      <c r="L181" s="25"/>
      <c r="M181" s="26">
        <f>K181</f>
        <v>0</v>
      </c>
      <c r="O181" s="357"/>
    </row>
    <row r="182" spans="1:16" s="27" customFormat="1" ht="25.5" x14ac:dyDescent="0.25">
      <c r="A182" s="42">
        <f t="shared" si="15"/>
        <v>172</v>
      </c>
      <c r="B182" s="15"/>
      <c r="C182" s="314" t="s">
        <v>11</v>
      </c>
      <c r="D182" s="315" t="s">
        <v>25</v>
      </c>
      <c r="E182" s="316" t="s">
        <v>10</v>
      </c>
      <c r="F182" s="317">
        <v>0.25</v>
      </c>
      <c r="G182" s="9">
        <f>G179*F182</f>
        <v>11.53</v>
      </c>
      <c r="H182" s="3"/>
      <c r="I182" s="24"/>
      <c r="J182" s="25">
        <f>H182</f>
        <v>0</v>
      </c>
      <c r="K182" s="25">
        <f>G182*H182</f>
        <v>0</v>
      </c>
      <c r="L182" s="25"/>
      <c r="M182" s="26">
        <f>K182</f>
        <v>0</v>
      </c>
      <c r="O182" s="357"/>
    </row>
    <row r="183" spans="1:16" s="27" customFormat="1" ht="12.75" x14ac:dyDescent="0.25">
      <c r="A183" s="43">
        <f t="shared" ref="A183:A193" si="16">ROW()-10</f>
        <v>173</v>
      </c>
      <c r="B183" s="14" t="s">
        <v>113</v>
      </c>
      <c r="C183" s="8" t="s">
        <v>62</v>
      </c>
      <c r="D183" s="5" t="s">
        <v>22</v>
      </c>
      <c r="E183" s="6" t="s">
        <v>8</v>
      </c>
      <c r="F183" s="7">
        <v>1</v>
      </c>
      <c r="G183" s="18">
        <v>8.6</v>
      </c>
      <c r="H183" s="2"/>
      <c r="I183" s="4"/>
      <c r="J183" s="21">
        <f>I183</f>
        <v>0</v>
      </c>
      <c r="K183" s="21"/>
      <c r="L183" s="21">
        <f>G183*I183</f>
        <v>0</v>
      </c>
      <c r="M183" s="22">
        <f>L183</f>
        <v>0</v>
      </c>
      <c r="O183" s="357"/>
    </row>
    <row r="184" spans="1:16" s="27" customFormat="1" ht="25.5" x14ac:dyDescent="0.25">
      <c r="A184" s="41">
        <f t="shared" si="16"/>
        <v>174</v>
      </c>
      <c r="B184" s="38" t="s">
        <v>64</v>
      </c>
      <c r="C184" s="314" t="s">
        <v>67</v>
      </c>
      <c r="D184" s="315" t="s">
        <v>25</v>
      </c>
      <c r="E184" s="316" t="s">
        <v>8</v>
      </c>
      <c r="F184" s="317">
        <v>1.07</v>
      </c>
      <c r="G184" s="9">
        <f>G183*F184</f>
        <v>9.1999999999999993</v>
      </c>
      <c r="H184" s="3"/>
      <c r="I184" s="24"/>
      <c r="J184" s="25">
        <f>H184</f>
        <v>0</v>
      </c>
      <c r="K184" s="25">
        <f>G184*H184</f>
        <v>0</v>
      </c>
      <c r="L184" s="25"/>
      <c r="M184" s="26">
        <f>K184</f>
        <v>0</v>
      </c>
      <c r="O184" s="357"/>
    </row>
    <row r="185" spans="1:16" s="27" customFormat="1" ht="25.5" x14ac:dyDescent="0.25">
      <c r="A185" s="42">
        <f t="shared" si="16"/>
        <v>175</v>
      </c>
      <c r="B185" s="15"/>
      <c r="C185" s="314" t="s">
        <v>9</v>
      </c>
      <c r="D185" s="315" t="s">
        <v>25</v>
      </c>
      <c r="E185" s="316" t="s">
        <v>10</v>
      </c>
      <c r="F185" s="317">
        <v>12</v>
      </c>
      <c r="G185" s="9">
        <f>G183*F185</f>
        <v>103.2</v>
      </c>
      <c r="H185" s="3"/>
      <c r="I185" s="24"/>
      <c r="J185" s="25">
        <f>H185</f>
        <v>0</v>
      </c>
      <c r="K185" s="25">
        <f>G185*H185</f>
        <v>0</v>
      </c>
      <c r="L185" s="25"/>
      <c r="M185" s="26">
        <f>K185</f>
        <v>0</v>
      </c>
      <c r="O185" s="357"/>
    </row>
    <row r="186" spans="1:16" s="27" customFormat="1" ht="25.5" x14ac:dyDescent="0.25">
      <c r="A186" s="42">
        <f t="shared" si="16"/>
        <v>176</v>
      </c>
      <c r="B186" s="15"/>
      <c r="C186" s="314" t="s">
        <v>11</v>
      </c>
      <c r="D186" s="315" t="s">
        <v>25</v>
      </c>
      <c r="E186" s="316" t="s">
        <v>10</v>
      </c>
      <c r="F186" s="317">
        <v>0.25</v>
      </c>
      <c r="G186" s="9">
        <f>G183*F186</f>
        <v>2.15</v>
      </c>
      <c r="H186" s="3"/>
      <c r="I186" s="24"/>
      <c r="J186" s="25">
        <f>H186</f>
        <v>0</v>
      </c>
      <c r="K186" s="25">
        <f>G186*H186</f>
        <v>0</v>
      </c>
      <c r="L186" s="25"/>
      <c r="M186" s="26">
        <f>K186</f>
        <v>0</v>
      </c>
      <c r="O186" s="357"/>
    </row>
    <row r="187" spans="1:16" s="27" customFormat="1" ht="25.5" x14ac:dyDescent="0.25">
      <c r="A187" s="43">
        <f t="shared" si="15"/>
        <v>177</v>
      </c>
      <c r="B187" s="14" t="s">
        <v>113</v>
      </c>
      <c r="C187" s="8" t="s">
        <v>17</v>
      </c>
      <c r="D187" s="5" t="s">
        <v>22</v>
      </c>
      <c r="E187" s="6" t="s">
        <v>12</v>
      </c>
      <c r="F187" s="7">
        <v>1</v>
      </c>
      <c r="G187" s="18">
        <f>36.6+9.6</f>
        <v>46.2</v>
      </c>
      <c r="H187" s="2"/>
      <c r="I187" s="4"/>
      <c r="J187" s="21">
        <f>I187</f>
        <v>0</v>
      </c>
      <c r="K187" s="21"/>
      <c r="L187" s="21">
        <f>G187*I187</f>
        <v>0</v>
      </c>
      <c r="M187" s="22">
        <f>L187</f>
        <v>0</v>
      </c>
      <c r="O187" s="357"/>
    </row>
    <row r="188" spans="1:16" s="27" customFormat="1" ht="25.5" x14ac:dyDescent="0.25">
      <c r="A188" s="42">
        <f t="shared" si="15"/>
        <v>178</v>
      </c>
      <c r="B188" s="15" t="s">
        <v>65</v>
      </c>
      <c r="C188" s="314" t="s">
        <v>66</v>
      </c>
      <c r="D188" s="315" t="s">
        <v>25</v>
      </c>
      <c r="E188" s="316" t="s">
        <v>8</v>
      </c>
      <c r="F188" s="317">
        <v>1.07</v>
      </c>
      <c r="G188" s="9">
        <f>G187*0.1*F188</f>
        <v>4.9400000000000004</v>
      </c>
      <c r="H188" s="3"/>
      <c r="I188" s="24"/>
      <c r="J188" s="25">
        <f>H188</f>
        <v>0</v>
      </c>
      <c r="K188" s="25">
        <f>G188*H188</f>
        <v>0</v>
      </c>
      <c r="L188" s="25"/>
      <c r="M188" s="26">
        <f>K188</f>
        <v>0</v>
      </c>
      <c r="O188" s="357"/>
    </row>
    <row r="189" spans="1:16" s="27" customFormat="1" ht="25.5" x14ac:dyDescent="0.25">
      <c r="A189" s="42">
        <f t="shared" si="15"/>
        <v>179</v>
      </c>
      <c r="B189" s="15"/>
      <c r="C189" s="314" t="s">
        <v>9</v>
      </c>
      <c r="D189" s="315" t="s">
        <v>25</v>
      </c>
      <c r="E189" s="316" t="s">
        <v>10</v>
      </c>
      <c r="F189" s="317">
        <v>12</v>
      </c>
      <c r="G189" s="9">
        <f>G187*0.1*F189</f>
        <v>55.44</v>
      </c>
      <c r="H189" s="3"/>
      <c r="I189" s="24"/>
      <c r="J189" s="25">
        <f>H189</f>
        <v>0</v>
      </c>
      <c r="K189" s="25">
        <f>G189*H189</f>
        <v>0</v>
      </c>
      <c r="L189" s="25"/>
      <c r="M189" s="26">
        <f>K189</f>
        <v>0</v>
      </c>
      <c r="O189" s="357"/>
    </row>
    <row r="190" spans="1:16" s="27" customFormat="1" ht="25.5" x14ac:dyDescent="0.25">
      <c r="A190" s="42">
        <f t="shared" si="15"/>
        <v>180</v>
      </c>
      <c r="B190" s="15"/>
      <c r="C190" s="314" t="s">
        <v>11</v>
      </c>
      <c r="D190" s="315" t="s">
        <v>25</v>
      </c>
      <c r="E190" s="316" t="s">
        <v>10</v>
      </c>
      <c r="F190" s="317">
        <v>0.25</v>
      </c>
      <c r="G190" s="9">
        <f>G187*0.1*F190</f>
        <v>1.1599999999999999</v>
      </c>
      <c r="H190" s="3"/>
      <c r="I190" s="24"/>
      <c r="J190" s="25">
        <f>H190</f>
        <v>0</v>
      </c>
      <c r="K190" s="25">
        <f>G190*H190</f>
        <v>0</v>
      </c>
      <c r="L190" s="25"/>
      <c r="M190" s="26">
        <f>K190</f>
        <v>0</v>
      </c>
      <c r="O190" s="357"/>
    </row>
    <row r="191" spans="1:16" s="27" customFormat="1" ht="12.75" x14ac:dyDescent="0.25">
      <c r="A191" s="43">
        <f t="shared" si="16"/>
        <v>181</v>
      </c>
      <c r="B191" s="14" t="s">
        <v>113</v>
      </c>
      <c r="C191" s="8" t="s">
        <v>76</v>
      </c>
      <c r="D191" s="5" t="s">
        <v>22</v>
      </c>
      <c r="E191" s="6" t="s">
        <v>12</v>
      </c>
      <c r="F191" s="7">
        <v>1</v>
      </c>
      <c r="G191" s="18">
        <v>3.5</v>
      </c>
      <c r="H191" s="2"/>
      <c r="I191" s="4"/>
      <c r="J191" s="21">
        <f>I191</f>
        <v>0</v>
      </c>
      <c r="K191" s="21"/>
      <c r="L191" s="21">
        <f>G191*I191</f>
        <v>0</v>
      </c>
      <c r="M191" s="22">
        <f>L191</f>
        <v>0</v>
      </c>
      <c r="O191" s="357"/>
    </row>
    <row r="192" spans="1:16" s="27" customFormat="1" ht="25.5" x14ac:dyDescent="0.25">
      <c r="A192" s="42">
        <f t="shared" si="16"/>
        <v>182</v>
      </c>
      <c r="B192" s="15"/>
      <c r="C192" s="314" t="s">
        <v>130</v>
      </c>
      <c r="D192" s="315" t="s">
        <v>25</v>
      </c>
      <c r="E192" s="316" t="s">
        <v>14</v>
      </c>
      <c r="F192" s="317">
        <v>0.3</v>
      </c>
      <c r="G192" s="9">
        <f>G191*0.1*F192</f>
        <v>0.11</v>
      </c>
      <c r="H192" s="3"/>
      <c r="I192" s="24"/>
      <c r="J192" s="25">
        <f>H192</f>
        <v>0</v>
      </c>
      <c r="K192" s="25">
        <f>G192*H192</f>
        <v>0</v>
      </c>
      <c r="L192" s="25"/>
      <c r="M192" s="26">
        <f>K192</f>
        <v>0</v>
      </c>
      <c r="O192" s="357"/>
    </row>
    <row r="193" spans="1:16" s="27" customFormat="1" ht="26.25" thickBot="1" x14ac:dyDescent="0.3">
      <c r="A193" s="42">
        <f t="shared" si="16"/>
        <v>183</v>
      </c>
      <c r="B193" s="15"/>
      <c r="C193" s="314" t="s">
        <v>13</v>
      </c>
      <c r="D193" s="315" t="s">
        <v>25</v>
      </c>
      <c r="E193" s="316" t="s">
        <v>14</v>
      </c>
      <c r="F193" s="317">
        <v>0.1</v>
      </c>
      <c r="G193" s="9">
        <f>G191*0.1*F193</f>
        <v>0.04</v>
      </c>
      <c r="H193" s="3"/>
      <c r="I193" s="24"/>
      <c r="J193" s="25">
        <f>H193</f>
        <v>0</v>
      </c>
      <c r="K193" s="25">
        <f>G193*H193</f>
        <v>0</v>
      </c>
      <c r="L193" s="25"/>
      <c r="M193" s="26">
        <f>K193</f>
        <v>0</v>
      </c>
      <c r="O193" s="357"/>
    </row>
    <row r="194" spans="1:16" s="29" customFormat="1" ht="14.25" x14ac:dyDescent="0.25">
      <c r="A194" s="56"/>
      <c r="B194" s="57"/>
      <c r="C194" s="58" t="s">
        <v>135</v>
      </c>
      <c r="D194" s="59"/>
      <c r="E194" s="59"/>
      <c r="F194" s="59"/>
      <c r="G194" s="59"/>
      <c r="H194" s="59"/>
      <c r="I194" s="59"/>
      <c r="J194" s="59"/>
      <c r="K194" s="59">
        <f>SUM(K11:K193)</f>
        <v>0</v>
      </c>
      <c r="L194" s="59">
        <f>SUM(L11:L193)</f>
        <v>0</v>
      </c>
      <c r="M194" s="60">
        <f>SUM(M11:M193)</f>
        <v>0</v>
      </c>
      <c r="N194" s="27"/>
      <c r="O194" s="357"/>
      <c r="P194" s="27"/>
    </row>
    <row r="195" spans="1:16" ht="15.75" thickBot="1" x14ac:dyDescent="0.3">
      <c r="A195" s="61"/>
      <c r="B195" s="62"/>
      <c r="C195" s="63" t="s">
        <v>136</v>
      </c>
      <c r="D195" s="64"/>
      <c r="E195" s="65"/>
      <c r="F195" s="65"/>
      <c r="G195" s="65"/>
      <c r="H195" s="65"/>
      <c r="I195" s="65"/>
      <c r="J195" s="66"/>
      <c r="K195" s="65"/>
      <c r="L195" s="65"/>
      <c r="M195" s="72">
        <f>M194*0.22/1.22</f>
        <v>0</v>
      </c>
      <c r="N195" s="67"/>
      <c r="O195" s="359"/>
      <c r="P195" s="67"/>
    </row>
    <row r="196" spans="1:16" x14ac:dyDescent="0.25">
      <c r="A196" s="333" t="s">
        <v>142</v>
      </c>
      <c r="B196" s="334"/>
      <c r="C196" s="334"/>
      <c r="D196" s="334"/>
      <c r="E196" s="334"/>
      <c r="F196" s="334"/>
      <c r="G196" s="335"/>
      <c r="H196" s="336"/>
      <c r="I196" s="336"/>
      <c r="J196" s="337"/>
      <c r="K196" s="337"/>
      <c r="L196" s="337"/>
      <c r="M196" s="338"/>
      <c r="O196" s="360"/>
    </row>
    <row r="197" spans="1:16" x14ac:dyDescent="0.2">
      <c r="A197" s="362">
        <v>1</v>
      </c>
      <c r="B197" s="363"/>
      <c r="C197" s="364" t="s">
        <v>143</v>
      </c>
      <c r="D197" s="365"/>
      <c r="E197" s="366"/>
      <c r="F197" s="366"/>
      <c r="G197" s="367"/>
      <c r="H197" s="368"/>
      <c r="I197" s="369"/>
      <c r="J197" s="370"/>
      <c r="K197" s="370"/>
      <c r="L197" s="370"/>
      <c r="M197" s="371"/>
      <c r="O197" s="360"/>
    </row>
    <row r="198" spans="1:16" x14ac:dyDescent="0.2">
      <c r="A198" s="372">
        <v>2</v>
      </c>
      <c r="B198" s="373"/>
      <c r="C198" s="374" t="s">
        <v>144</v>
      </c>
      <c r="D198" s="375"/>
      <c r="E198" s="376"/>
      <c r="F198" s="376"/>
      <c r="G198" s="377"/>
      <c r="H198" s="368"/>
      <c r="I198" s="369"/>
      <c r="J198" s="370"/>
      <c r="K198" s="370"/>
      <c r="L198" s="370"/>
      <c r="M198" s="371"/>
      <c r="O198" s="360"/>
    </row>
    <row r="199" spans="1:16" x14ac:dyDescent="0.2">
      <c r="A199" s="372">
        <v>3</v>
      </c>
      <c r="B199" s="363"/>
      <c r="C199" s="374" t="s">
        <v>145</v>
      </c>
      <c r="D199" s="375"/>
      <c r="E199" s="376"/>
      <c r="F199" s="376"/>
      <c r="G199" s="377"/>
      <c r="H199" s="368"/>
      <c r="I199" s="369"/>
      <c r="J199" s="370"/>
      <c r="K199" s="370"/>
      <c r="L199" s="370"/>
      <c r="M199" s="371"/>
      <c r="O199" s="360"/>
    </row>
    <row r="200" spans="1:16" ht="25.5" x14ac:dyDescent="0.2">
      <c r="A200" s="372">
        <v>4</v>
      </c>
      <c r="B200" s="373"/>
      <c r="C200" s="374" t="s">
        <v>146</v>
      </c>
      <c r="D200" s="375"/>
      <c r="E200" s="376"/>
      <c r="F200" s="376"/>
      <c r="G200" s="377"/>
      <c r="H200" s="368"/>
      <c r="I200" s="369"/>
      <c r="J200" s="370"/>
      <c r="K200" s="370"/>
      <c r="L200" s="370"/>
      <c r="M200" s="371"/>
      <c r="O200" s="360"/>
    </row>
    <row r="201" spans="1:16" ht="25.5" x14ac:dyDescent="0.2">
      <c r="A201" s="372">
        <v>5</v>
      </c>
      <c r="B201" s="363"/>
      <c r="C201" s="374" t="s">
        <v>147</v>
      </c>
      <c r="D201" s="375"/>
      <c r="E201" s="376"/>
      <c r="F201" s="376"/>
      <c r="G201" s="377"/>
      <c r="H201" s="368"/>
      <c r="I201" s="369"/>
      <c r="J201" s="370"/>
      <c r="K201" s="370"/>
      <c r="L201" s="370"/>
      <c r="M201" s="371"/>
      <c r="O201" s="360"/>
    </row>
    <row r="202" spans="1:16" x14ac:dyDescent="0.2">
      <c r="A202" s="372">
        <v>6</v>
      </c>
      <c r="B202" s="373"/>
      <c r="C202" s="374" t="s">
        <v>148</v>
      </c>
      <c r="D202" s="375"/>
      <c r="E202" s="376"/>
      <c r="F202" s="376"/>
      <c r="G202" s="377"/>
      <c r="H202" s="368"/>
      <c r="I202" s="369"/>
      <c r="J202" s="370"/>
      <c r="K202" s="370"/>
      <c r="L202" s="370"/>
      <c r="M202" s="371"/>
      <c r="O202" s="360"/>
    </row>
    <row r="203" spans="1:16" x14ac:dyDescent="0.2">
      <c r="A203" s="372">
        <v>7</v>
      </c>
      <c r="B203" s="363"/>
      <c r="C203" s="374" t="s">
        <v>149</v>
      </c>
      <c r="D203" s="375"/>
      <c r="E203" s="376"/>
      <c r="F203" s="376"/>
      <c r="G203" s="377"/>
      <c r="H203" s="368"/>
      <c r="I203" s="369"/>
      <c r="J203" s="370"/>
      <c r="K203" s="370"/>
      <c r="L203" s="370"/>
      <c r="M203" s="371"/>
      <c r="O203" s="360"/>
    </row>
    <row r="204" spans="1:16" x14ac:dyDescent="0.2">
      <c r="A204" s="372">
        <v>8</v>
      </c>
      <c r="B204" s="373"/>
      <c r="C204" s="374" t="s">
        <v>150</v>
      </c>
      <c r="D204" s="375"/>
      <c r="E204" s="376"/>
      <c r="F204" s="376"/>
      <c r="G204" s="377"/>
      <c r="H204" s="368"/>
      <c r="I204" s="369"/>
      <c r="J204" s="370"/>
      <c r="K204" s="370"/>
      <c r="L204" s="370"/>
      <c r="M204" s="371"/>
      <c r="O204" s="360"/>
    </row>
    <row r="205" spans="1:16" x14ac:dyDescent="0.2">
      <c r="A205" s="372">
        <v>9</v>
      </c>
      <c r="B205" s="363"/>
      <c r="C205" s="374" t="s">
        <v>151</v>
      </c>
      <c r="D205" s="375"/>
      <c r="E205" s="376"/>
      <c r="F205" s="376"/>
      <c r="G205" s="377"/>
      <c r="H205" s="368"/>
      <c r="I205" s="369"/>
      <c r="J205" s="370"/>
      <c r="K205" s="370"/>
      <c r="L205" s="370"/>
      <c r="M205" s="371"/>
      <c r="O205" s="360"/>
    </row>
    <row r="206" spans="1:16" ht="25.5" x14ac:dyDescent="0.2">
      <c r="A206" s="372">
        <v>10</v>
      </c>
      <c r="B206" s="373"/>
      <c r="C206" s="378" t="s">
        <v>152</v>
      </c>
      <c r="D206" s="379"/>
      <c r="E206" s="376"/>
      <c r="F206" s="376"/>
      <c r="G206" s="377"/>
      <c r="H206" s="368"/>
      <c r="I206" s="369"/>
      <c r="J206" s="370"/>
      <c r="K206" s="370"/>
      <c r="L206" s="370"/>
      <c r="M206" s="371"/>
      <c r="O206" s="360"/>
    </row>
    <row r="207" spans="1:16" ht="15.75" thickBot="1" x14ac:dyDescent="0.25">
      <c r="A207" s="380">
        <v>11</v>
      </c>
      <c r="B207" s="381"/>
      <c r="C207" s="382" t="s">
        <v>153</v>
      </c>
      <c r="D207" s="383"/>
      <c r="E207" s="384"/>
      <c r="F207" s="384"/>
      <c r="G207" s="385"/>
      <c r="H207" s="386"/>
      <c r="I207" s="387"/>
      <c r="J207" s="388"/>
      <c r="K207" s="388"/>
      <c r="L207" s="388"/>
      <c r="M207" s="389"/>
      <c r="O207" s="361"/>
    </row>
    <row r="208" spans="1:16" x14ac:dyDescent="0.25">
      <c r="A208" s="339"/>
      <c r="B208" s="340"/>
      <c r="C208" s="341"/>
      <c r="D208" s="339"/>
      <c r="E208" s="340"/>
      <c r="F208" s="340"/>
      <c r="H208" s="340"/>
      <c r="I208" s="340"/>
      <c r="J208" s="342"/>
      <c r="K208" s="340"/>
      <c r="L208" s="340"/>
      <c r="M208" s="340"/>
    </row>
    <row r="209" spans="1:13" ht="81.75" customHeight="1" x14ac:dyDescent="0.25">
      <c r="A209" s="343" t="s">
        <v>156</v>
      </c>
      <c r="B209" s="344"/>
      <c r="C209" s="344"/>
      <c r="D209" s="344"/>
      <c r="E209" s="344"/>
      <c r="F209" s="344"/>
      <c r="G209" s="344"/>
      <c r="H209" s="344"/>
      <c r="I209" s="344"/>
      <c r="J209" s="344"/>
      <c r="K209" s="344"/>
      <c r="L209" s="344"/>
      <c r="M209" s="344"/>
    </row>
    <row r="210" spans="1:13" ht="62.25" customHeight="1" x14ac:dyDescent="0.2">
      <c r="A210" s="263"/>
      <c r="B210" s="263"/>
      <c r="C210" s="264" t="s">
        <v>154</v>
      </c>
      <c r="D210" s="264"/>
      <c r="E210" s="264"/>
      <c r="F210" s="264"/>
      <c r="G210" s="264"/>
      <c r="H210" s="264"/>
      <c r="I210" s="345"/>
      <c r="J210" s="345"/>
      <c r="K210" s="346"/>
      <c r="L210" s="345"/>
      <c r="M210" s="347"/>
    </row>
  </sheetData>
  <sheetProtection algorithmName="SHA-512" hashValue="4/V6Pd8XStxOWHdlwHyG8kFnzUhd9LhKP67PTYUMZUZwdvJK67kU7UswIWl05O4jYfQuzWWtxPnAIGn9O2KnbQ==" saltValue="R+eqpq0RfPwE+EHMz0Gnjw==" spinCount="100000" sheet="1" autoFilter="0"/>
  <autoFilter ref="A10:M207" xr:uid="{00000000-0001-0000-0000-000000000000}"/>
  <mergeCells count="16">
    <mergeCell ref="A209:M209"/>
    <mergeCell ref="O8:O10"/>
    <mergeCell ref="H8:I8"/>
    <mergeCell ref="J8:J9"/>
    <mergeCell ref="K8:L8"/>
    <mergeCell ref="M8:M9"/>
    <mergeCell ref="A4:M4"/>
    <mergeCell ref="A5:M5"/>
    <mergeCell ref="A6:M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scale="2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F6976-75BF-4CD2-8182-0986F1C54D5D}">
  <dimension ref="A1:P212"/>
  <sheetViews>
    <sheetView tabSelected="1" view="pageBreakPreview" zoomScale="90" zoomScaleNormal="85" zoomScaleSheetLayoutView="90" workbookViewId="0">
      <selection activeCell="M16" sqref="M16"/>
    </sheetView>
  </sheetViews>
  <sheetFormatPr defaultColWidth="9.140625" defaultRowHeight="15" x14ac:dyDescent="0.25"/>
  <cols>
    <col min="1" max="1" width="9.5703125" style="17" customWidth="1"/>
    <col min="2" max="2" width="16.42578125" style="16" customWidth="1"/>
    <col min="3" max="3" width="42.85546875" style="11" customWidth="1"/>
    <col min="4" max="4" width="17" style="10" customWidth="1"/>
    <col min="5" max="5" width="9.7109375" style="1" customWidth="1"/>
    <col min="6" max="6" width="9.5703125" style="1" customWidth="1"/>
    <col min="7" max="7" width="10.7109375" style="1" customWidth="1"/>
    <col min="8" max="9" width="13.7109375" style="1" customWidth="1"/>
    <col min="10" max="10" width="14.7109375" style="12" customWidth="1"/>
    <col min="11" max="11" width="13.28515625" style="1" customWidth="1"/>
    <col min="12" max="12" width="14.7109375" style="1" customWidth="1"/>
    <col min="13" max="13" width="17.28515625" style="1" customWidth="1"/>
    <col min="14" max="14" width="2.7109375" style="19" customWidth="1"/>
    <col min="15" max="15" width="62.140625" style="350" customWidth="1"/>
    <col min="16" max="16" width="2.7109375" style="19" customWidth="1"/>
    <col min="17" max="16384" width="9.140625" style="19"/>
  </cols>
  <sheetData>
    <row r="1" spans="1:15" s="265" customFormat="1" ht="15.75" x14ac:dyDescent="0.2">
      <c r="A1" s="263"/>
      <c r="B1" s="263"/>
      <c r="C1" s="264"/>
      <c r="D1" s="264"/>
      <c r="E1" s="264"/>
      <c r="F1" s="264"/>
      <c r="G1" s="264"/>
      <c r="H1" s="264"/>
      <c r="J1" s="266"/>
      <c r="K1" s="267"/>
      <c r="L1" s="267"/>
      <c r="M1" s="268" t="s">
        <v>55</v>
      </c>
      <c r="O1" s="348"/>
    </row>
    <row r="2" spans="1:15" s="265" customFormat="1" ht="15.75" customHeight="1" x14ac:dyDescent="0.2">
      <c r="A2" s="263"/>
      <c r="B2" s="263"/>
      <c r="C2" s="264"/>
      <c r="D2" s="264"/>
      <c r="E2" s="264"/>
      <c r="F2" s="264"/>
      <c r="G2" s="264"/>
      <c r="H2" s="264"/>
      <c r="J2" s="266"/>
      <c r="K2" s="267"/>
      <c r="L2" s="267"/>
      <c r="M2" s="268" t="s">
        <v>56</v>
      </c>
      <c r="O2" s="348"/>
    </row>
    <row r="3" spans="1:15" s="265" customFormat="1" ht="15.75" customHeight="1" x14ac:dyDescent="0.2">
      <c r="A3" s="263"/>
      <c r="B3" s="263"/>
      <c r="C3" s="264"/>
      <c r="D3" s="264"/>
      <c r="E3" s="264"/>
      <c r="F3" s="264"/>
      <c r="G3" s="264"/>
      <c r="H3" s="264"/>
      <c r="J3" s="266"/>
      <c r="K3" s="267"/>
      <c r="L3" s="267"/>
      <c r="M3" s="268"/>
      <c r="O3" s="348"/>
    </row>
    <row r="4" spans="1:15" s="271" customFormat="1" ht="20.25" x14ac:dyDescent="0.25">
      <c r="A4" s="269" t="s">
        <v>57</v>
      </c>
      <c r="B4" s="269"/>
      <c r="C4" s="269"/>
      <c r="D4" s="269"/>
      <c r="E4" s="269"/>
      <c r="F4" s="269"/>
      <c r="G4" s="269"/>
      <c r="H4" s="269"/>
      <c r="I4" s="269"/>
      <c r="J4" s="269"/>
      <c r="K4" s="269"/>
      <c r="L4" s="269"/>
      <c r="M4" s="269"/>
      <c r="N4" s="270"/>
      <c r="O4" s="349"/>
    </row>
    <row r="5" spans="1:15" ht="18.75" customHeight="1" x14ac:dyDescent="0.25">
      <c r="A5" s="74" t="s">
        <v>54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</row>
    <row r="6" spans="1:15" ht="15.75" x14ac:dyDescent="0.25">
      <c r="A6" s="75" t="s">
        <v>82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</row>
    <row r="7" spans="1:15" ht="16.5" thickBot="1" x14ac:dyDescent="0.3">
      <c r="A7" s="13"/>
      <c r="B7" s="1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</row>
    <row r="8" spans="1:15" ht="15" customHeight="1" x14ac:dyDescent="0.25">
      <c r="A8" s="272" t="s">
        <v>137</v>
      </c>
      <c r="B8" s="273" t="s">
        <v>0</v>
      </c>
      <c r="C8" s="274" t="s">
        <v>4</v>
      </c>
      <c r="D8" s="274" t="s">
        <v>1</v>
      </c>
      <c r="E8" s="274" t="s">
        <v>5</v>
      </c>
      <c r="F8" s="275" t="s">
        <v>6</v>
      </c>
      <c r="G8" s="276" t="s">
        <v>3</v>
      </c>
      <c r="H8" s="277" t="s">
        <v>138</v>
      </c>
      <c r="I8" s="278"/>
      <c r="J8" s="278" t="s">
        <v>139</v>
      </c>
      <c r="K8" s="278" t="s">
        <v>140</v>
      </c>
      <c r="L8" s="278"/>
      <c r="M8" s="279" t="s">
        <v>141</v>
      </c>
      <c r="O8" s="351" t="s">
        <v>155</v>
      </c>
    </row>
    <row r="9" spans="1:15" ht="36.75" customHeight="1" thickBot="1" x14ac:dyDescent="0.3">
      <c r="A9" s="280"/>
      <c r="B9" s="281"/>
      <c r="C9" s="282"/>
      <c r="D9" s="282"/>
      <c r="E9" s="282"/>
      <c r="F9" s="283"/>
      <c r="G9" s="284"/>
      <c r="H9" s="285" t="s">
        <v>2</v>
      </c>
      <c r="I9" s="286" t="s">
        <v>7</v>
      </c>
      <c r="J9" s="287"/>
      <c r="K9" s="286" t="s">
        <v>2</v>
      </c>
      <c r="L9" s="286" t="s">
        <v>7</v>
      </c>
      <c r="M9" s="288"/>
      <c r="O9" s="352"/>
    </row>
    <row r="10" spans="1:15" s="20" customFormat="1" ht="12.75" x14ac:dyDescent="0.25">
      <c r="A10" s="31">
        <v>1</v>
      </c>
      <c r="B10" s="32">
        <v>2</v>
      </c>
      <c r="C10" s="32">
        <v>3</v>
      </c>
      <c r="D10" s="32">
        <v>4</v>
      </c>
      <c r="E10" s="32">
        <v>5</v>
      </c>
      <c r="F10" s="33">
        <v>6</v>
      </c>
      <c r="G10" s="35">
        <v>9</v>
      </c>
      <c r="H10" s="34" t="s">
        <v>26</v>
      </c>
      <c r="I10" s="35" t="s">
        <v>27</v>
      </c>
      <c r="J10" s="34" t="s">
        <v>28</v>
      </c>
      <c r="K10" s="35" t="s">
        <v>29</v>
      </c>
      <c r="L10" s="34" t="s">
        <v>30</v>
      </c>
      <c r="M10" s="35" t="s">
        <v>31</v>
      </c>
      <c r="O10" s="352"/>
    </row>
    <row r="11" spans="1:15" s="23" customFormat="1" ht="12.75" x14ac:dyDescent="0.25">
      <c r="A11" s="289">
        <f>ROW()-10</f>
        <v>1</v>
      </c>
      <c r="B11" s="290" t="s">
        <v>84</v>
      </c>
      <c r="C11" s="291" t="s">
        <v>85</v>
      </c>
      <c r="D11" s="45"/>
      <c r="E11" s="292"/>
      <c r="F11" s="293"/>
      <c r="G11" s="294"/>
      <c r="H11" s="295"/>
      <c r="I11" s="296"/>
      <c r="J11" s="46"/>
      <c r="K11" s="46"/>
      <c r="L11" s="46"/>
      <c r="M11" s="47"/>
      <c r="O11" s="354"/>
    </row>
    <row r="12" spans="1:15" s="23" customFormat="1" ht="12.75" x14ac:dyDescent="0.25">
      <c r="A12" s="297">
        <f>ROW()-10</f>
        <v>2</v>
      </c>
      <c r="B12" s="298" t="s">
        <v>84</v>
      </c>
      <c r="C12" s="299" t="s">
        <v>86</v>
      </c>
      <c r="D12" s="48"/>
      <c r="E12" s="300"/>
      <c r="F12" s="301"/>
      <c r="G12" s="302"/>
      <c r="H12" s="303"/>
      <c r="I12" s="304"/>
      <c r="J12" s="51"/>
      <c r="K12" s="51"/>
      <c r="L12" s="51"/>
      <c r="M12" s="52"/>
      <c r="O12" s="354"/>
    </row>
    <row r="13" spans="1:15" s="44" customFormat="1" ht="25.5" customHeight="1" x14ac:dyDescent="0.25">
      <c r="A13" s="305">
        <f>ROW()-10</f>
        <v>3</v>
      </c>
      <c r="B13" s="306" t="s">
        <v>87</v>
      </c>
      <c r="C13" s="307" t="s">
        <v>88</v>
      </c>
      <c r="D13" s="36"/>
      <c r="E13" s="308"/>
      <c r="F13" s="309"/>
      <c r="G13" s="310"/>
      <c r="H13" s="311"/>
      <c r="I13" s="312"/>
      <c r="J13" s="28"/>
      <c r="K13" s="28"/>
      <c r="L13" s="28"/>
      <c r="M13" s="40"/>
      <c r="O13" s="355"/>
    </row>
    <row r="14" spans="1:15" s="23" customFormat="1" ht="25.5" x14ac:dyDescent="0.25">
      <c r="A14" s="43">
        <f t="shared" ref="A14:A39" si="0">ROW()-10</f>
        <v>4</v>
      </c>
      <c r="B14" s="14" t="s">
        <v>89</v>
      </c>
      <c r="C14" s="55" t="s">
        <v>90</v>
      </c>
      <c r="D14" s="5" t="s">
        <v>22</v>
      </c>
      <c r="E14" s="6" t="s">
        <v>8</v>
      </c>
      <c r="F14" s="7">
        <v>1</v>
      </c>
      <c r="G14" s="313">
        <f>27.03+18.24+15.02+6.94+20.1+9.65</f>
        <v>96.98</v>
      </c>
      <c r="H14" s="2"/>
      <c r="I14" s="4"/>
      <c r="J14" s="21">
        <f>I14</f>
        <v>0</v>
      </c>
      <c r="K14" s="21"/>
      <c r="L14" s="21">
        <f>G14*I14</f>
        <v>0</v>
      </c>
      <c r="M14" s="22">
        <f>L14</f>
        <v>0</v>
      </c>
      <c r="O14" s="354"/>
    </row>
    <row r="15" spans="1:15" s="68" customFormat="1" ht="25.5" x14ac:dyDescent="0.25">
      <c r="A15" s="42">
        <f t="shared" si="0"/>
        <v>5</v>
      </c>
      <c r="B15" s="15"/>
      <c r="C15" s="314" t="s">
        <v>91</v>
      </c>
      <c r="D15" s="315" t="s">
        <v>25</v>
      </c>
      <c r="E15" s="316" t="s">
        <v>8</v>
      </c>
      <c r="F15" s="317">
        <v>1.05</v>
      </c>
      <c r="G15" s="318">
        <f>(27.03+18.24+15.02)*F15*2</f>
        <v>126.61</v>
      </c>
      <c r="H15" s="3"/>
      <c r="I15" s="24"/>
      <c r="J15" s="25">
        <f t="shared" ref="J15:J27" si="1">H15</f>
        <v>0</v>
      </c>
      <c r="K15" s="25">
        <f t="shared" ref="K15:K27" si="2">G15*H15</f>
        <v>0</v>
      </c>
      <c r="L15" s="25"/>
      <c r="M15" s="26">
        <f t="shared" ref="M15:M27" si="3">K15</f>
        <v>0</v>
      </c>
      <c r="O15" s="356"/>
    </row>
    <row r="16" spans="1:15" s="68" customFormat="1" ht="25.5" x14ac:dyDescent="0.25">
      <c r="A16" s="42">
        <f t="shared" si="0"/>
        <v>6</v>
      </c>
      <c r="B16" s="15" t="s">
        <v>93</v>
      </c>
      <c r="C16" s="314" t="s">
        <v>92</v>
      </c>
      <c r="D16" s="315" t="s">
        <v>25</v>
      </c>
      <c r="E16" s="316" t="s">
        <v>8</v>
      </c>
      <c r="F16" s="317">
        <v>1.05</v>
      </c>
      <c r="G16" s="318">
        <f>6.94*F16*2</f>
        <v>14.57</v>
      </c>
      <c r="H16" s="3"/>
      <c r="I16" s="24"/>
      <c r="J16" s="25">
        <f t="shared" si="1"/>
        <v>0</v>
      </c>
      <c r="K16" s="25">
        <f t="shared" si="2"/>
        <v>0</v>
      </c>
      <c r="L16" s="25"/>
      <c r="M16" s="26">
        <f t="shared" si="3"/>
        <v>0</v>
      </c>
      <c r="O16" s="356"/>
    </row>
    <row r="17" spans="1:15" s="68" customFormat="1" ht="25.5" x14ac:dyDescent="0.25">
      <c r="A17" s="42">
        <f t="shared" si="0"/>
        <v>7</v>
      </c>
      <c r="B17" s="15" t="s">
        <v>94</v>
      </c>
      <c r="C17" s="314" t="s">
        <v>95</v>
      </c>
      <c r="D17" s="315" t="s">
        <v>25</v>
      </c>
      <c r="E17" s="316" t="s">
        <v>8</v>
      </c>
      <c r="F17" s="317">
        <v>1.05</v>
      </c>
      <c r="G17" s="318">
        <f>(20.1+9.65)*F17*2</f>
        <v>62.48</v>
      </c>
      <c r="H17" s="3"/>
      <c r="I17" s="24"/>
      <c r="J17" s="25">
        <f t="shared" si="1"/>
        <v>0</v>
      </c>
      <c r="K17" s="25">
        <f t="shared" si="2"/>
        <v>0</v>
      </c>
      <c r="L17" s="25"/>
      <c r="M17" s="26">
        <f t="shared" si="3"/>
        <v>0</v>
      </c>
      <c r="O17" s="356"/>
    </row>
    <row r="18" spans="1:15" s="68" customFormat="1" ht="25.5" x14ac:dyDescent="0.25">
      <c r="A18" s="42">
        <f t="shared" si="0"/>
        <v>8</v>
      </c>
      <c r="B18" s="15"/>
      <c r="C18" s="314" t="s">
        <v>39</v>
      </c>
      <c r="D18" s="315" t="s">
        <v>25</v>
      </c>
      <c r="E18" s="316" t="s">
        <v>12</v>
      </c>
      <c r="F18" s="317">
        <v>2.9</v>
      </c>
      <c r="G18" s="318">
        <f>$G$14*F18</f>
        <v>281.24</v>
      </c>
      <c r="H18" s="3"/>
      <c r="I18" s="24"/>
      <c r="J18" s="25">
        <f t="shared" si="1"/>
        <v>0</v>
      </c>
      <c r="K18" s="25">
        <f t="shared" si="2"/>
        <v>0</v>
      </c>
      <c r="L18" s="25"/>
      <c r="M18" s="26">
        <f t="shared" si="3"/>
        <v>0</v>
      </c>
      <c r="O18" s="356"/>
    </row>
    <row r="19" spans="1:15" s="68" customFormat="1" ht="25.5" x14ac:dyDescent="0.25">
      <c r="A19" s="42">
        <f t="shared" si="0"/>
        <v>9</v>
      </c>
      <c r="B19" s="15"/>
      <c r="C19" s="314" t="s">
        <v>35</v>
      </c>
      <c r="D19" s="315" t="s">
        <v>25</v>
      </c>
      <c r="E19" s="316" t="s">
        <v>12</v>
      </c>
      <c r="F19" s="317">
        <v>1.35</v>
      </c>
      <c r="G19" s="318">
        <f>$G$14*F19</f>
        <v>130.91999999999999</v>
      </c>
      <c r="H19" s="3"/>
      <c r="I19" s="24"/>
      <c r="J19" s="25">
        <f t="shared" si="1"/>
        <v>0</v>
      </c>
      <c r="K19" s="25">
        <f t="shared" si="2"/>
        <v>0</v>
      </c>
      <c r="L19" s="25"/>
      <c r="M19" s="26">
        <f t="shared" si="3"/>
        <v>0</v>
      </c>
      <c r="O19" s="356"/>
    </row>
    <row r="20" spans="1:15" s="68" customFormat="1" ht="25.5" x14ac:dyDescent="0.25">
      <c r="A20" s="42">
        <f t="shared" si="0"/>
        <v>10</v>
      </c>
      <c r="B20" s="15"/>
      <c r="C20" s="314" t="s">
        <v>40</v>
      </c>
      <c r="D20" s="315" t="s">
        <v>25</v>
      </c>
      <c r="E20" s="316" t="s">
        <v>34</v>
      </c>
      <c r="F20" s="317">
        <v>0.2</v>
      </c>
      <c r="G20" s="318">
        <f>ROUNDUP($G$14*F20,0)</f>
        <v>20</v>
      </c>
      <c r="H20" s="3"/>
      <c r="I20" s="24"/>
      <c r="J20" s="25">
        <f t="shared" si="1"/>
        <v>0</v>
      </c>
      <c r="K20" s="25">
        <f t="shared" si="2"/>
        <v>0</v>
      </c>
      <c r="L20" s="25"/>
      <c r="M20" s="26">
        <f t="shared" si="3"/>
        <v>0</v>
      </c>
      <c r="O20" s="356"/>
    </row>
    <row r="21" spans="1:15" s="68" customFormat="1" ht="25.5" x14ac:dyDescent="0.25">
      <c r="A21" s="42">
        <f t="shared" si="0"/>
        <v>11</v>
      </c>
      <c r="B21" s="15"/>
      <c r="C21" s="314" t="s">
        <v>41</v>
      </c>
      <c r="D21" s="315" t="s">
        <v>25</v>
      </c>
      <c r="E21" s="316" t="s">
        <v>34</v>
      </c>
      <c r="F21" s="317">
        <v>1.7</v>
      </c>
      <c r="G21" s="318">
        <f>ROUNDUP($G$14*F21,0)</f>
        <v>165</v>
      </c>
      <c r="H21" s="3"/>
      <c r="I21" s="24"/>
      <c r="J21" s="25">
        <f t="shared" si="1"/>
        <v>0</v>
      </c>
      <c r="K21" s="25">
        <f t="shared" si="2"/>
        <v>0</v>
      </c>
      <c r="L21" s="25"/>
      <c r="M21" s="26">
        <f t="shared" si="3"/>
        <v>0</v>
      </c>
      <c r="O21" s="356"/>
    </row>
    <row r="22" spans="1:15" s="68" customFormat="1" ht="25.5" x14ac:dyDescent="0.25">
      <c r="A22" s="42">
        <f t="shared" si="0"/>
        <v>12</v>
      </c>
      <c r="B22" s="15"/>
      <c r="C22" s="314" t="s">
        <v>42</v>
      </c>
      <c r="D22" s="315" t="s">
        <v>25</v>
      </c>
      <c r="E22" s="316" t="s">
        <v>34</v>
      </c>
      <c r="F22" s="317">
        <v>0.7</v>
      </c>
      <c r="G22" s="318">
        <f>ROUNDUP($G$14*F22,0)</f>
        <v>68</v>
      </c>
      <c r="H22" s="3"/>
      <c r="I22" s="24"/>
      <c r="J22" s="25">
        <f t="shared" si="1"/>
        <v>0</v>
      </c>
      <c r="K22" s="25">
        <f t="shared" si="2"/>
        <v>0</v>
      </c>
      <c r="L22" s="25"/>
      <c r="M22" s="26">
        <f t="shared" si="3"/>
        <v>0</v>
      </c>
      <c r="O22" s="356"/>
    </row>
    <row r="23" spans="1:15" s="68" customFormat="1" ht="25.5" x14ac:dyDescent="0.25">
      <c r="A23" s="42">
        <f t="shared" si="0"/>
        <v>13</v>
      </c>
      <c r="B23" s="15"/>
      <c r="C23" s="314" t="s">
        <v>43</v>
      </c>
      <c r="D23" s="315" t="s">
        <v>25</v>
      </c>
      <c r="E23" s="316" t="s">
        <v>34</v>
      </c>
      <c r="F23" s="317">
        <v>0.7</v>
      </c>
      <c r="G23" s="318">
        <f>ROUNDUP($G$14*F23,0)</f>
        <v>68</v>
      </c>
      <c r="H23" s="3"/>
      <c r="I23" s="24"/>
      <c r="J23" s="25">
        <f t="shared" si="1"/>
        <v>0</v>
      </c>
      <c r="K23" s="25">
        <f t="shared" si="2"/>
        <v>0</v>
      </c>
      <c r="L23" s="25"/>
      <c r="M23" s="26">
        <f t="shared" si="3"/>
        <v>0</v>
      </c>
      <c r="O23" s="356"/>
    </row>
    <row r="24" spans="1:15" s="68" customFormat="1" ht="25.5" x14ac:dyDescent="0.25">
      <c r="A24" s="42">
        <f t="shared" si="0"/>
        <v>14</v>
      </c>
      <c r="B24" s="15"/>
      <c r="C24" s="314" t="s">
        <v>36</v>
      </c>
      <c r="D24" s="315" t="s">
        <v>25</v>
      </c>
      <c r="E24" s="316" t="s">
        <v>34</v>
      </c>
      <c r="F24" s="317">
        <v>23</v>
      </c>
      <c r="G24" s="318">
        <f>ROUNDUP($G$14*F24*2,0)</f>
        <v>4462</v>
      </c>
      <c r="H24" s="3"/>
      <c r="I24" s="24"/>
      <c r="J24" s="25">
        <f t="shared" si="1"/>
        <v>0</v>
      </c>
      <c r="K24" s="25">
        <f t="shared" si="2"/>
        <v>0</v>
      </c>
      <c r="L24" s="25"/>
      <c r="M24" s="26">
        <f t="shared" si="3"/>
        <v>0</v>
      </c>
      <c r="O24" s="356"/>
    </row>
    <row r="25" spans="1:15" s="68" customFormat="1" ht="25.5" x14ac:dyDescent="0.25">
      <c r="A25" s="42">
        <f t="shared" si="0"/>
        <v>15</v>
      </c>
      <c r="B25" s="15"/>
      <c r="C25" s="314" t="s">
        <v>44</v>
      </c>
      <c r="D25" s="315" t="s">
        <v>25</v>
      </c>
      <c r="E25" s="316" t="s">
        <v>34</v>
      </c>
      <c r="F25" s="317">
        <v>0.7</v>
      </c>
      <c r="G25" s="318">
        <f>ROUNDUP($G$14*F25*2,0)</f>
        <v>136</v>
      </c>
      <c r="H25" s="3"/>
      <c r="I25" s="24"/>
      <c r="J25" s="25">
        <f t="shared" si="1"/>
        <v>0</v>
      </c>
      <c r="K25" s="25">
        <f t="shared" si="2"/>
        <v>0</v>
      </c>
      <c r="L25" s="25"/>
      <c r="M25" s="26">
        <f t="shared" si="3"/>
        <v>0</v>
      </c>
      <c r="O25" s="356"/>
    </row>
    <row r="26" spans="1:15" s="68" customFormat="1" ht="25.5" x14ac:dyDescent="0.25">
      <c r="A26" s="42">
        <f t="shared" si="0"/>
        <v>16</v>
      </c>
      <c r="B26" s="15"/>
      <c r="C26" s="314" t="s">
        <v>37</v>
      </c>
      <c r="D26" s="315" t="s">
        <v>25</v>
      </c>
      <c r="E26" s="316" t="s">
        <v>10</v>
      </c>
      <c r="F26" s="317">
        <v>0.35</v>
      </c>
      <c r="G26" s="318">
        <f>$G$14*F26</f>
        <v>33.94</v>
      </c>
      <c r="H26" s="3"/>
      <c r="I26" s="24"/>
      <c r="J26" s="25">
        <f t="shared" si="1"/>
        <v>0</v>
      </c>
      <c r="K26" s="25">
        <f t="shared" si="2"/>
        <v>0</v>
      </c>
      <c r="L26" s="25"/>
      <c r="M26" s="26">
        <f t="shared" si="3"/>
        <v>0</v>
      </c>
      <c r="O26" s="356"/>
    </row>
    <row r="27" spans="1:15" s="68" customFormat="1" ht="25.5" x14ac:dyDescent="0.25">
      <c r="A27" s="42">
        <f t="shared" si="0"/>
        <v>17</v>
      </c>
      <c r="B27" s="15"/>
      <c r="C27" s="314" t="s">
        <v>38</v>
      </c>
      <c r="D27" s="315" t="s">
        <v>25</v>
      </c>
      <c r="E27" s="316" t="s">
        <v>12</v>
      </c>
      <c r="F27" s="317">
        <v>1.2</v>
      </c>
      <c r="G27" s="318">
        <f>$G$14*F27</f>
        <v>116.38</v>
      </c>
      <c r="H27" s="3"/>
      <c r="I27" s="24"/>
      <c r="J27" s="25">
        <f t="shared" si="1"/>
        <v>0</v>
      </c>
      <c r="K27" s="25">
        <f t="shared" si="2"/>
        <v>0</v>
      </c>
      <c r="L27" s="25"/>
      <c r="M27" s="26">
        <f t="shared" si="3"/>
        <v>0</v>
      </c>
      <c r="O27" s="356"/>
    </row>
    <row r="28" spans="1:15" s="23" customFormat="1" ht="12.75" x14ac:dyDescent="0.25">
      <c r="A28" s="319">
        <f t="shared" si="0"/>
        <v>18</v>
      </c>
      <c r="B28" s="320" t="s">
        <v>96</v>
      </c>
      <c r="C28" s="321" t="s">
        <v>97</v>
      </c>
      <c r="D28" s="322" t="s">
        <v>22</v>
      </c>
      <c r="E28" s="323" t="s">
        <v>8</v>
      </c>
      <c r="F28" s="143">
        <v>1</v>
      </c>
      <c r="G28" s="313">
        <v>12.1</v>
      </c>
      <c r="H28" s="2"/>
      <c r="I28" s="4"/>
      <c r="J28" s="21">
        <f>I28</f>
        <v>0</v>
      </c>
      <c r="K28" s="21"/>
      <c r="L28" s="21">
        <f>G28*I28</f>
        <v>0</v>
      </c>
      <c r="M28" s="22">
        <f>L28</f>
        <v>0</v>
      </c>
      <c r="O28" s="354"/>
    </row>
    <row r="29" spans="1:15" s="68" customFormat="1" ht="25.5" x14ac:dyDescent="0.25">
      <c r="A29" s="324">
        <f t="shared" si="0"/>
        <v>19</v>
      </c>
      <c r="B29" s="325"/>
      <c r="C29" s="314" t="s">
        <v>98</v>
      </c>
      <c r="D29" s="315" t="s">
        <v>25</v>
      </c>
      <c r="E29" s="316" t="s">
        <v>12</v>
      </c>
      <c r="F29" s="317">
        <v>1.1000000000000001</v>
      </c>
      <c r="G29" s="318">
        <f>G28*9*F29</f>
        <v>119.79</v>
      </c>
      <c r="H29" s="3"/>
      <c r="I29" s="24"/>
      <c r="J29" s="25">
        <f>H29</f>
        <v>0</v>
      </c>
      <c r="K29" s="25">
        <f>G29*H29</f>
        <v>0</v>
      </c>
      <c r="L29" s="25"/>
      <c r="M29" s="26">
        <f>K29</f>
        <v>0</v>
      </c>
      <c r="O29" s="356"/>
    </row>
    <row r="30" spans="1:15" s="23" customFormat="1" ht="12.75" x14ac:dyDescent="0.25">
      <c r="A30" s="43">
        <f t="shared" si="0"/>
        <v>20</v>
      </c>
      <c r="B30" s="14" t="s">
        <v>99</v>
      </c>
      <c r="C30" s="55" t="s">
        <v>100</v>
      </c>
      <c r="D30" s="5" t="s">
        <v>22</v>
      </c>
      <c r="E30" s="6" t="s">
        <v>8</v>
      </c>
      <c r="F30" s="7">
        <v>1</v>
      </c>
      <c r="G30" s="313">
        <f>46.7+29.3+65.8</f>
        <v>141.80000000000001</v>
      </c>
      <c r="H30" s="2"/>
      <c r="I30" s="4"/>
      <c r="J30" s="21">
        <f>I30</f>
        <v>0</v>
      </c>
      <c r="K30" s="21"/>
      <c r="L30" s="21">
        <f>G30*I30</f>
        <v>0</v>
      </c>
      <c r="M30" s="22">
        <f>L30</f>
        <v>0</v>
      </c>
      <c r="O30" s="354"/>
    </row>
    <row r="31" spans="1:15" s="68" customFormat="1" ht="25.5" x14ac:dyDescent="0.25">
      <c r="A31" s="42">
        <f t="shared" si="0"/>
        <v>21</v>
      </c>
      <c r="B31" s="15"/>
      <c r="C31" s="326" t="s">
        <v>13</v>
      </c>
      <c r="D31" s="315" t="s">
        <v>25</v>
      </c>
      <c r="E31" s="316" t="s">
        <v>14</v>
      </c>
      <c r="F31" s="317">
        <v>0.1</v>
      </c>
      <c r="G31" s="318">
        <f>G30*F31</f>
        <v>14.18</v>
      </c>
      <c r="H31" s="3"/>
      <c r="I31" s="24"/>
      <c r="J31" s="25">
        <f>H31</f>
        <v>0</v>
      </c>
      <c r="K31" s="25">
        <f>G31*H31</f>
        <v>0</v>
      </c>
      <c r="L31" s="25"/>
      <c r="M31" s="26">
        <f>K31</f>
        <v>0</v>
      </c>
      <c r="O31" s="356"/>
    </row>
    <row r="32" spans="1:15" s="68" customFormat="1" ht="25.5" x14ac:dyDescent="0.25">
      <c r="A32" s="42">
        <f t="shared" si="0"/>
        <v>22</v>
      </c>
      <c r="B32" s="15"/>
      <c r="C32" s="326" t="s">
        <v>101</v>
      </c>
      <c r="D32" s="315" t="s">
        <v>25</v>
      </c>
      <c r="E32" s="316" t="s">
        <v>10</v>
      </c>
      <c r="F32" s="317">
        <v>1.2</v>
      </c>
      <c r="G32" s="318">
        <f>G30*F32</f>
        <v>170.16</v>
      </c>
      <c r="H32" s="3"/>
      <c r="I32" s="24"/>
      <c r="J32" s="25">
        <f>H32</f>
        <v>0</v>
      </c>
      <c r="K32" s="25">
        <f>G32*H32</f>
        <v>0</v>
      </c>
      <c r="L32" s="25"/>
      <c r="M32" s="26">
        <f>K32</f>
        <v>0</v>
      </c>
      <c r="O32" s="356"/>
    </row>
    <row r="33" spans="1:15" s="68" customFormat="1" ht="25.5" x14ac:dyDescent="0.25">
      <c r="A33" s="42">
        <f t="shared" si="0"/>
        <v>23</v>
      </c>
      <c r="B33" s="15"/>
      <c r="C33" s="314" t="s">
        <v>23</v>
      </c>
      <c r="D33" s="315" t="s">
        <v>25</v>
      </c>
      <c r="E33" s="316" t="s">
        <v>10</v>
      </c>
      <c r="F33" s="317">
        <v>1.7</v>
      </c>
      <c r="G33" s="318">
        <f>G30*F33</f>
        <v>241.06</v>
      </c>
      <c r="H33" s="3"/>
      <c r="I33" s="24"/>
      <c r="J33" s="25">
        <f>H33</f>
        <v>0</v>
      </c>
      <c r="K33" s="25">
        <f>G33*H33</f>
        <v>0</v>
      </c>
      <c r="L33" s="25"/>
      <c r="M33" s="26">
        <f>K33</f>
        <v>0</v>
      </c>
      <c r="O33" s="356"/>
    </row>
    <row r="34" spans="1:15" s="23" customFormat="1" ht="38.25" x14ac:dyDescent="0.25">
      <c r="A34" s="43">
        <f t="shared" si="0"/>
        <v>24</v>
      </c>
      <c r="B34" s="14" t="s">
        <v>102</v>
      </c>
      <c r="C34" s="8" t="s">
        <v>103</v>
      </c>
      <c r="D34" s="5" t="s">
        <v>22</v>
      </c>
      <c r="E34" s="6" t="s">
        <v>8</v>
      </c>
      <c r="F34" s="7">
        <v>1</v>
      </c>
      <c r="G34" s="313">
        <f>46.7+29.3+65.8+12.1</f>
        <v>153.9</v>
      </c>
      <c r="H34" s="2"/>
      <c r="I34" s="4"/>
      <c r="J34" s="21">
        <f>I34</f>
        <v>0</v>
      </c>
      <c r="K34" s="21"/>
      <c r="L34" s="21">
        <f>G34*I34</f>
        <v>0</v>
      </c>
      <c r="M34" s="22">
        <f>L34</f>
        <v>0</v>
      </c>
      <c r="O34" s="354"/>
    </row>
    <row r="35" spans="1:15" s="68" customFormat="1" ht="25.5" x14ac:dyDescent="0.25">
      <c r="A35" s="42">
        <f t="shared" si="0"/>
        <v>25</v>
      </c>
      <c r="B35" s="15"/>
      <c r="C35" s="314" t="s">
        <v>13</v>
      </c>
      <c r="D35" s="315" t="s">
        <v>25</v>
      </c>
      <c r="E35" s="316" t="s">
        <v>14</v>
      </c>
      <c r="F35" s="317">
        <v>0.1</v>
      </c>
      <c r="G35" s="318">
        <f>G34*F35</f>
        <v>15.39</v>
      </c>
      <c r="H35" s="3"/>
      <c r="I35" s="24"/>
      <c r="J35" s="25">
        <f>H35</f>
        <v>0</v>
      </c>
      <c r="K35" s="25">
        <f>G35*H35</f>
        <v>0</v>
      </c>
      <c r="L35" s="25"/>
      <c r="M35" s="26">
        <f>K35</f>
        <v>0</v>
      </c>
      <c r="O35" s="356"/>
    </row>
    <row r="36" spans="1:15" s="68" customFormat="1" ht="25.5" x14ac:dyDescent="0.25">
      <c r="A36" s="42">
        <f t="shared" si="0"/>
        <v>26</v>
      </c>
      <c r="B36" s="15"/>
      <c r="C36" s="314" t="s">
        <v>104</v>
      </c>
      <c r="D36" s="315" t="s">
        <v>25</v>
      </c>
      <c r="E36" s="316" t="s">
        <v>14</v>
      </c>
      <c r="F36" s="317">
        <v>0.3</v>
      </c>
      <c r="G36" s="318">
        <f>46.7*F36</f>
        <v>14.01</v>
      </c>
      <c r="H36" s="3"/>
      <c r="I36" s="24"/>
      <c r="J36" s="25">
        <f>H36</f>
        <v>0</v>
      </c>
      <c r="K36" s="25">
        <f>G36*H36</f>
        <v>0</v>
      </c>
      <c r="L36" s="25"/>
      <c r="M36" s="26">
        <f>K36</f>
        <v>0</v>
      </c>
      <c r="O36" s="356"/>
    </row>
    <row r="37" spans="1:15" s="68" customFormat="1" ht="25.5" x14ac:dyDescent="0.25">
      <c r="A37" s="42">
        <f t="shared" si="0"/>
        <v>27</v>
      </c>
      <c r="B37" s="15"/>
      <c r="C37" s="314" t="s">
        <v>105</v>
      </c>
      <c r="D37" s="315" t="s">
        <v>25</v>
      </c>
      <c r="E37" s="316" t="s">
        <v>14</v>
      </c>
      <c r="F37" s="317">
        <v>0.3</v>
      </c>
      <c r="G37" s="318">
        <f>29.3*F37</f>
        <v>8.7899999999999991</v>
      </c>
      <c r="H37" s="3"/>
      <c r="I37" s="24"/>
      <c r="J37" s="25">
        <f>H37</f>
        <v>0</v>
      </c>
      <c r="K37" s="25">
        <f>G37*H37</f>
        <v>0</v>
      </c>
      <c r="L37" s="25"/>
      <c r="M37" s="26">
        <f>K37</f>
        <v>0</v>
      </c>
      <c r="O37" s="356"/>
    </row>
    <row r="38" spans="1:15" s="68" customFormat="1" ht="51" x14ac:dyDescent="0.25">
      <c r="A38" s="42">
        <f t="shared" si="0"/>
        <v>28</v>
      </c>
      <c r="B38" s="38" t="s">
        <v>111</v>
      </c>
      <c r="C38" s="314" t="s">
        <v>106</v>
      </c>
      <c r="D38" s="315" t="s">
        <v>25</v>
      </c>
      <c r="E38" s="316" t="s">
        <v>14</v>
      </c>
      <c r="F38" s="317">
        <v>0.3</v>
      </c>
      <c r="G38" s="318">
        <f>(65.8+(39.64)*0.05)*F38</f>
        <v>20.329999999999998</v>
      </c>
      <c r="H38" s="3"/>
      <c r="I38" s="24"/>
      <c r="J38" s="25">
        <f>H38</f>
        <v>0</v>
      </c>
      <c r="K38" s="25">
        <f>G38*H38</f>
        <v>0</v>
      </c>
      <c r="L38" s="25"/>
      <c r="M38" s="26">
        <f>K38</f>
        <v>0</v>
      </c>
      <c r="O38" s="356"/>
    </row>
    <row r="39" spans="1:15" s="68" customFormat="1" ht="51" x14ac:dyDescent="0.25">
      <c r="A39" s="42">
        <f t="shared" si="0"/>
        <v>29</v>
      </c>
      <c r="B39" s="38" t="s">
        <v>126</v>
      </c>
      <c r="C39" s="314" t="s">
        <v>107</v>
      </c>
      <c r="D39" s="315" t="s">
        <v>25</v>
      </c>
      <c r="E39" s="316" t="s">
        <v>14</v>
      </c>
      <c r="F39" s="317">
        <v>0.3</v>
      </c>
      <c r="G39" s="318">
        <f>(12.1+17.44*0.32)*F39</f>
        <v>5.3</v>
      </c>
      <c r="H39" s="3"/>
      <c r="I39" s="24"/>
      <c r="J39" s="25">
        <f>H39</f>
        <v>0</v>
      </c>
      <c r="K39" s="25">
        <f>G39*H39</f>
        <v>0</v>
      </c>
      <c r="L39" s="25"/>
      <c r="M39" s="26">
        <f>K39</f>
        <v>0</v>
      </c>
      <c r="O39" s="356"/>
    </row>
    <row r="40" spans="1:15" s="44" customFormat="1" ht="25.5" customHeight="1" x14ac:dyDescent="0.25">
      <c r="A40" s="256">
        <f>ROW()-10</f>
        <v>30</v>
      </c>
      <c r="B40" s="306" t="s">
        <v>110</v>
      </c>
      <c r="C40" s="307" t="s">
        <v>109</v>
      </c>
      <c r="D40" s="36"/>
      <c r="E40" s="308"/>
      <c r="F40" s="309"/>
      <c r="G40" s="310"/>
      <c r="H40" s="39"/>
      <c r="I40" s="37"/>
      <c r="J40" s="28"/>
      <c r="K40" s="28"/>
      <c r="L40" s="28"/>
      <c r="M40" s="40"/>
      <c r="O40" s="355"/>
    </row>
    <row r="41" spans="1:15" s="23" customFormat="1" ht="12.75" x14ac:dyDescent="0.25">
      <c r="A41" s="43">
        <f t="shared" ref="A41:A67" si="4">ROW()-10</f>
        <v>31</v>
      </c>
      <c r="B41" s="14" t="s">
        <v>110</v>
      </c>
      <c r="C41" s="55" t="s">
        <v>21</v>
      </c>
      <c r="D41" s="5" t="s">
        <v>22</v>
      </c>
      <c r="E41" s="6" t="s">
        <v>8</v>
      </c>
      <c r="F41" s="7">
        <v>1</v>
      </c>
      <c r="G41" s="313">
        <v>409.68</v>
      </c>
      <c r="H41" s="2"/>
      <c r="I41" s="4"/>
      <c r="J41" s="21">
        <f>I41</f>
        <v>0</v>
      </c>
      <c r="K41" s="21"/>
      <c r="L41" s="21">
        <f>G41*I41</f>
        <v>0</v>
      </c>
      <c r="M41" s="22">
        <f>L41</f>
        <v>0</v>
      </c>
      <c r="O41" s="354"/>
    </row>
    <row r="42" spans="1:15" s="68" customFormat="1" ht="25.5" x14ac:dyDescent="0.25">
      <c r="A42" s="42">
        <f t="shared" si="4"/>
        <v>32</v>
      </c>
      <c r="B42" s="15"/>
      <c r="C42" s="326" t="s">
        <v>13</v>
      </c>
      <c r="D42" s="315" t="s">
        <v>25</v>
      </c>
      <c r="E42" s="316" t="s">
        <v>14</v>
      </c>
      <c r="F42" s="317">
        <v>0.1</v>
      </c>
      <c r="G42" s="318">
        <f>G41*F42</f>
        <v>40.97</v>
      </c>
      <c r="H42" s="3"/>
      <c r="I42" s="24"/>
      <c r="J42" s="25">
        <f>H42</f>
        <v>0</v>
      </c>
      <c r="K42" s="25">
        <f>G42*H42</f>
        <v>0</v>
      </c>
      <c r="L42" s="25"/>
      <c r="M42" s="26">
        <f>K42</f>
        <v>0</v>
      </c>
      <c r="O42" s="356"/>
    </row>
    <row r="43" spans="1:15" s="68" customFormat="1" ht="25.5" x14ac:dyDescent="0.25">
      <c r="A43" s="42">
        <f t="shared" si="4"/>
        <v>33</v>
      </c>
      <c r="B43" s="15"/>
      <c r="C43" s="326" t="s">
        <v>52</v>
      </c>
      <c r="D43" s="315" t="s">
        <v>25</v>
      </c>
      <c r="E43" s="316" t="s">
        <v>10</v>
      </c>
      <c r="F43" s="317">
        <v>1.2</v>
      </c>
      <c r="G43" s="318">
        <f>G41*F43</f>
        <v>491.62</v>
      </c>
      <c r="H43" s="3"/>
      <c r="I43" s="24"/>
      <c r="J43" s="25">
        <f>H43</f>
        <v>0</v>
      </c>
      <c r="K43" s="25">
        <f>G43*H43</f>
        <v>0</v>
      </c>
      <c r="L43" s="25"/>
      <c r="M43" s="26">
        <f>K43</f>
        <v>0</v>
      </c>
      <c r="O43" s="356"/>
    </row>
    <row r="44" spans="1:15" s="68" customFormat="1" ht="25.5" x14ac:dyDescent="0.25">
      <c r="A44" s="42">
        <f t="shared" si="4"/>
        <v>34</v>
      </c>
      <c r="B44" s="15"/>
      <c r="C44" s="314" t="s">
        <v>23</v>
      </c>
      <c r="D44" s="315" t="s">
        <v>25</v>
      </c>
      <c r="E44" s="316" t="s">
        <v>10</v>
      </c>
      <c r="F44" s="317">
        <v>1.7</v>
      </c>
      <c r="G44" s="318">
        <f>G41*F44</f>
        <v>696.46</v>
      </c>
      <c r="H44" s="3"/>
      <c r="I44" s="24"/>
      <c r="J44" s="25">
        <f>H44</f>
        <v>0</v>
      </c>
      <c r="K44" s="25">
        <f>G44*H44</f>
        <v>0</v>
      </c>
      <c r="L44" s="25"/>
      <c r="M44" s="26">
        <f>K44</f>
        <v>0</v>
      </c>
      <c r="O44" s="356"/>
    </row>
    <row r="45" spans="1:15" s="23" customFormat="1" ht="12.75" x14ac:dyDescent="0.25">
      <c r="A45" s="43">
        <f t="shared" si="4"/>
        <v>35</v>
      </c>
      <c r="B45" s="14" t="s">
        <v>110</v>
      </c>
      <c r="C45" s="8" t="s">
        <v>15</v>
      </c>
      <c r="D45" s="5" t="s">
        <v>22</v>
      </c>
      <c r="E45" s="6" t="s">
        <v>8</v>
      </c>
      <c r="F45" s="7">
        <v>1</v>
      </c>
      <c r="G45" s="313">
        <v>315.83999999999997</v>
      </c>
      <c r="H45" s="2"/>
      <c r="I45" s="4"/>
      <c r="J45" s="21">
        <f>I45</f>
        <v>0</v>
      </c>
      <c r="K45" s="21"/>
      <c r="L45" s="21">
        <f>G45*I45</f>
        <v>0</v>
      </c>
      <c r="M45" s="22">
        <f>L45</f>
        <v>0</v>
      </c>
      <c r="O45" s="354"/>
    </row>
    <row r="46" spans="1:15" s="68" customFormat="1" ht="25.5" x14ac:dyDescent="0.25">
      <c r="A46" s="42">
        <f t="shared" si="4"/>
        <v>36</v>
      </c>
      <c r="B46" s="15"/>
      <c r="C46" s="314" t="s">
        <v>13</v>
      </c>
      <c r="D46" s="315" t="s">
        <v>25</v>
      </c>
      <c r="E46" s="316" t="s">
        <v>14</v>
      </c>
      <c r="F46" s="317">
        <v>0.1</v>
      </c>
      <c r="G46" s="318">
        <f>G45*F46</f>
        <v>31.58</v>
      </c>
      <c r="H46" s="3"/>
      <c r="I46" s="24"/>
      <c r="J46" s="25">
        <f>H46</f>
        <v>0</v>
      </c>
      <c r="K46" s="25">
        <f>G46*H46</f>
        <v>0</v>
      </c>
      <c r="L46" s="25"/>
      <c r="M46" s="26">
        <f>K46</f>
        <v>0</v>
      </c>
      <c r="O46" s="356"/>
    </row>
    <row r="47" spans="1:15" s="68" customFormat="1" ht="25.5" x14ac:dyDescent="0.25">
      <c r="A47" s="42">
        <f t="shared" si="4"/>
        <v>37</v>
      </c>
      <c r="B47" s="15"/>
      <c r="C47" s="314" t="s">
        <v>104</v>
      </c>
      <c r="D47" s="315" t="s">
        <v>25</v>
      </c>
      <c r="E47" s="316" t="s">
        <v>14</v>
      </c>
      <c r="F47" s="317">
        <v>0.3</v>
      </c>
      <c r="G47" s="318">
        <f>161.99*F47</f>
        <v>48.6</v>
      </c>
      <c r="H47" s="3"/>
      <c r="I47" s="24"/>
      <c r="J47" s="25">
        <f>H47</f>
        <v>0</v>
      </c>
      <c r="K47" s="25">
        <f>G47*H47</f>
        <v>0</v>
      </c>
      <c r="L47" s="25"/>
      <c r="M47" s="26">
        <f>K47</f>
        <v>0</v>
      </c>
      <c r="O47" s="356"/>
    </row>
    <row r="48" spans="1:15" s="68" customFormat="1" ht="25.5" x14ac:dyDescent="0.25">
      <c r="A48" s="42">
        <f t="shared" si="4"/>
        <v>38</v>
      </c>
      <c r="B48" s="15"/>
      <c r="C48" s="314" t="s">
        <v>105</v>
      </c>
      <c r="D48" s="315" t="s">
        <v>25</v>
      </c>
      <c r="E48" s="316" t="s">
        <v>14</v>
      </c>
      <c r="F48" s="317">
        <v>0.3</v>
      </c>
      <c r="G48" s="318">
        <f>16.1*F48</f>
        <v>4.83</v>
      </c>
      <c r="H48" s="3"/>
      <c r="I48" s="24"/>
      <c r="J48" s="25">
        <f>H48</f>
        <v>0</v>
      </c>
      <c r="K48" s="25">
        <f>G48*H48</f>
        <v>0</v>
      </c>
      <c r="L48" s="25"/>
      <c r="M48" s="26">
        <f>K48</f>
        <v>0</v>
      </c>
      <c r="O48" s="356"/>
    </row>
    <row r="49" spans="1:15" s="68" customFormat="1" ht="25.5" x14ac:dyDescent="0.25">
      <c r="A49" s="42">
        <f t="shared" si="4"/>
        <v>39</v>
      </c>
      <c r="B49" s="15"/>
      <c r="C49" s="314" t="s">
        <v>106</v>
      </c>
      <c r="D49" s="315" t="s">
        <v>25</v>
      </c>
      <c r="E49" s="316" t="s">
        <v>14</v>
      </c>
      <c r="F49" s="317">
        <v>0.3</v>
      </c>
      <c r="G49" s="318">
        <f>137.75*F49</f>
        <v>41.33</v>
      </c>
      <c r="H49" s="3"/>
      <c r="I49" s="24"/>
      <c r="J49" s="25">
        <f>H49</f>
        <v>0</v>
      </c>
      <c r="K49" s="25">
        <f>G49*H49</f>
        <v>0</v>
      </c>
      <c r="L49" s="25"/>
      <c r="M49" s="26">
        <f>K49</f>
        <v>0</v>
      </c>
      <c r="O49" s="356"/>
    </row>
    <row r="50" spans="1:15" s="23" customFormat="1" ht="38.25" x14ac:dyDescent="0.25">
      <c r="A50" s="43">
        <f t="shared" si="4"/>
        <v>40</v>
      </c>
      <c r="B50" s="14" t="s">
        <v>110</v>
      </c>
      <c r="C50" s="8" t="s">
        <v>134</v>
      </c>
      <c r="D50" s="5" t="s">
        <v>22</v>
      </c>
      <c r="E50" s="6" t="s">
        <v>8</v>
      </c>
      <c r="F50" s="7">
        <v>1</v>
      </c>
      <c r="G50" s="313">
        <v>79.91</v>
      </c>
      <c r="H50" s="2"/>
      <c r="I50" s="4"/>
      <c r="J50" s="21">
        <f>I50</f>
        <v>0</v>
      </c>
      <c r="K50" s="21"/>
      <c r="L50" s="21">
        <f>G50*I50</f>
        <v>0</v>
      </c>
      <c r="M50" s="22">
        <f>L50</f>
        <v>0</v>
      </c>
      <c r="O50" s="354"/>
    </row>
    <row r="51" spans="1:15" s="68" customFormat="1" ht="25.5" x14ac:dyDescent="0.25">
      <c r="A51" s="42">
        <f t="shared" si="4"/>
        <v>41</v>
      </c>
      <c r="B51" s="15"/>
      <c r="C51" s="314" t="s">
        <v>58</v>
      </c>
      <c r="D51" s="315" t="s">
        <v>25</v>
      </c>
      <c r="E51" s="316" t="s">
        <v>8</v>
      </c>
      <c r="F51" s="317">
        <v>1.07</v>
      </c>
      <c r="G51" s="318">
        <f>G50*F51</f>
        <v>85.5</v>
      </c>
      <c r="H51" s="3"/>
      <c r="I51" s="24"/>
      <c r="J51" s="25">
        <f>H51</f>
        <v>0</v>
      </c>
      <c r="K51" s="25">
        <f>G51*H51</f>
        <v>0</v>
      </c>
      <c r="L51" s="25"/>
      <c r="M51" s="26">
        <f>K51</f>
        <v>0</v>
      </c>
      <c r="O51" s="356"/>
    </row>
    <row r="52" spans="1:15" s="68" customFormat="1" ht="25.5" x14ac:dyDescent="0.25">
      <c r="A52" s="42">
        <f t="shared" si="4"/>
        <v>42</v>
      </c>
      <c r="B52" s="15"/>
      <c r="C52" s="314" t="s">
        <v>9</v>
      </c>
      <c r="D52" s="315" t="s">
        <v>25</v>
      </c>
      <c r="E52" s="316" t="s">
        <v>10</v>
      </c>
      <c r="F52" s="317">
        <v>12</v>
      </c>
      <c r="G52" s="318">
        <f>G50*0.3*F52</f>
        <v>287.68</v>
      </c>
      <c r="H52" s="3"/>
      <c r="I52" s="24"/>
      <c r="J52" s="25">
        <f>H52</f>
        <v>0</v>
      </c>
      <c r="K52" s="25">
        <f>G52*H52</f>
        <v>0</v>
      </c>
      <c r="L52" s="25"/>
      <c r="M52" s="26">
        <f>K52</f>
        <v>0</v>
      </c>
      <c r="O52" s="356"/>
    </row>
    <row r="53" spans="1:15" s="68" customFormat="1" ht="25.5" x14ac:dyDescent="0.25">
      <c r="A53" s="42">
        <f t="shared" si="4"/>
        <v>43</v>
      </c>
      <c r="B53" s="15"/>
      <c r="C53" s="314" t="s">
        <v>11</v>
      </c>
      <c r="D53" s="315" t="s">
        <v>25</v>
      </c>
      <c r="E53" s="316" t="s">
        <v>10</v>
      </c>
      <c r="F53" s="317">
        <v>0.25</v>
      </c>
      <c r="G53" s="318">
        <f>G50*0.3*F53</f>
        <v>5.99</v>
      </c>
      <c r="H53" s="3"/>
      <c r="I53" s="24"/>
      <c r="J53" s="25">
        <f>H53</f>
        <v>0</v>
      </c>
      <c r="K53" s="25">
        <f>G53*H53</f>
        <v>0</v>
      </c>
      <c r="L53" s="25"/>
      <c r="M53" s="26">
        <f>K53</f>
        <v>0</v>
      </c>
      <c r="O53" s="356"/>
    </row>
    <row r="54" spans="1:15" s="68" customFormat="1" ht="25.5" x14ac:dyDescent="0.25">
      <c r="A54" s="42">
        <f t="shared" si="4"/>
        <v>44</v>
      </c>
      <c r="B54" s="15"/>
      <c r="C54" s="314" t="s">
        <v>46</v>
      </c>
      <c r="D54" s="315" t="s">
        <v>25</v>
      </c>
      <c r="E54" s="316" t="s">
        <v>12</v>
      </c>
      <c r="F54" s="317">
        <v>1.1000000000000001</v>
      </c>
      <c r="G54" s="318">
        <f>25.69*F54</f>
        <v>28.26</v>
      </c>
      <c r="H54" s="3"/>
      <c r="I54" s="24"/>
      <c r="J54" s="25">
        <f>H54</f>
        <v>0</v>
      </c>
      <c r="K54" s="25">
        <f>G54*H54</f>
        <v>0</v>
      </c>
      <c r="L54" s="25"/>
      <c r="M54" s="26">
        <f>K54</f>
        <v>0</v>
      </c>
      <c r="O54" s="356"/>
    </row>
    <row r="55" spans="1:15" s="23" customFormat="1" ht="38.25" x14ac:dyDescent="0.25">
      <c r="A55" s="43">
        <f t="shared" si="4"/>
        <v>45</v>
      </c>
      <c r="B55" s="14" t="s">
        <v>110</v>
      </c>
      <c r="C55" s="8" t="s">
        <v>49</v>
      </c>
      <c r="D55" s="5" t="s">
        <v>22</v>
      </c>
      <c r="E55" s="6" t="s">
        <v>8</v>
      </c>
      <c r="F55" s="7">
        <v>1</v>
      </c>
      <c r="G55" s="313">
        <v>93.84</v>
      </c>
      <c r="H55" s="2"/>
      <c r="I55" s="4"/>
      <c r="J55" s="21">
        <f>I55</f>
        <v>0</v>
      </c>
      <c r="K55" s="21"/>
      <c r="L55" s="21">
        <f>G55*I55</f>
        <v>0</v>
      </c>
      <c r="M55" s="22">
        <f>L55</f>
        <v>0</v>
      </c>
      <c r="O55" s="354"/>
    </row>
    <row r="56" spans="1:15" s="68" customFormat="1" ht="25.5" x14ac:dyDescent="0.25">
      <c r="A56" s="42">
        <f t="shared" si="4"/>
        <v>46</v>
      </c>
      <c r="B56" s="15"/>
      <c r="C56" s="314" t="s">
        <v>131</v>
      </c>
      <c r="D56" s="315" t="s">
        <v>25</v>
      </c>
      <c r="E56" s="316" t="s">
        <v>10</v>
      </c>
      <c r="F56" s="317">
        <v>2.5</v>
      </c>
      <c r="G56" s="318">
        <f>9.91*F56</f>
        <v>24.78</v>
      </c>
      <c r="H56" s="3"/>
      <c r="I56" s="24"/>
      <c r="J56" s="25">
        <f>H56</f>
        <v>0</v>
      </c>
      <c r="K56" s="25">
        <f>G56*H56</f>
        <v>0</v>
      </c>
      <c r="L56" s="25"/>
      <c r="M56" s="26">
        <f>K56</f>
        <v>0</v>
      </c>
      <c r="O56" s="356"/>
    </row>
    <row r="57" spans="1:15" s="68" customFormat="1" ht="25.5" x14ac:dyDescent="0.25">
      <c r="A57" s="42">
        <f t="shared" si="4"/>
        <v>47</v>
      </c>
      <c r="B57" s="15"/>
      <c r="C57" s="314" t="s">
        <v>132</v>
      </c>
      <c r="D57" s="315" t="s">
        <v>25</v>
      </c>
      <c r="E57" s="316" t="s">
        <v>10</v>
      </c>
      <c r="F57" s="317">
        <v>2.5</v>
      </c>
      <c r="G57" s="318">
        <f>72.12*F57</f>
        <v>180.3</v>
      </c>
      <c r="H57" s="3"/>
      <c r="I57" s="24"/>
      <c r="J57" s="25">
        <f>H57</f>
        <v>0</v>
      </c>
      <c r="K57" s="25">
        <f>G57*H57</f>
        <v>0</v>
      </c>
      <c r="L57" s="25"/>
      <c r="M57" s="26">
        <f>K57</f>
        <v>0</v>
      </c>
      <c r="O57" s="356"/>
    </row>
    <row r="58" spans="1:15" s="68" customFormat="1" ht="25.5" x14ac:dyDescent="0.25">
      <c r="A58" s="42">
        <f t="shared" si="4"/>
        <v>48</v>
      </c>
      <c r="B58" s="15"/>
      <c r="C58" s="314" t="s">
        <v>133</v>
      </c>
      <c r="D58" s="315" t="s">
        <v>25</v>
      </c>
      <c r="E58" s="316" t="s">
        <v>10</v>
      </c>
      <c r="F58" s="317">
        <v>2.5</v>
      </c>
      <c r="G58" s="318">
        <f>11.82*F58</f>
        <v>29.55</v>
      </c>
      <c r="H58" s="3"/>
      <c r="I58" s="24"/>
      <c r="J58" s="25">
        <f>H58</f>
        <v>0</v>
      </c>
      <c r="K58" s="25">
        <f>G58*H58</f>
        <v>0</v>
      </c>
      <c r="L58" s="25"/>
      <c r="M58" s="26">
        <f>K58</f>
        <v>0</v>
      </c>
      <c r="O58" s="356"/>
    </row>
    <row r="59" spans="1:15" s="23" customFormat="1" ht="12.75" x14ac:dyDescent="0.25">
      <c r="A59" s="43">
        <f t="shared" si="4"/>
        <v>49</v>
      </c>
      <c r="B59" s="14" t="s">
        <v>110</v>
      </c>
      <c r="C59" s="8" t="s">
        <v>50</v>
      </c>
      <c r="D59" s="5" t="s">
        <v>22</v>
      </c>
      <c r="E59" s="6" t="s">
        <v>12</v>
      </c>
      <c r="F59" s="7">
        <v>1</v>
      </c>
      <c r="G59" s="313">
        <v>8.1</v>
      </c>
      <c r="H59" s="2"/>
      <c r="I59" s="4"/>
      <c r="J59" s="21">
        <f>I59</f>
        <v>0</v>
      </c>
      <c r="K59" s="21"/>
      <c r="L59" s="21">
        <f>G59*I59</f>
        <v>0</v>
      </c>
      <c r="M59" s="22">
        <f>L59</f>
        <v>0</v>
      </c>
      <c r="O59" s="354"/>
    </row>
    <row r="60" spans="1:15" s="68" customFormat="1" ht="25.5" x14ac:dyDescent="0.25">
      <c r="A60" s="42">
        <f t="shared" si="4"/>
        <v>50</v>
      </c>
      <c r="B60" s="15"/>
      <c r="C60" s="314" t="s">
        <v>51</v>
      </c>
      <c r="D60" s="315" t="s">
        <v>25</v>
      </c>
      <c r="E60" s="316" t="s">
        <v>12</v>
      </c>
      <c r="F60" s="317">
        <v>1.1000000000000001</v>
      </c>
      <c r="G60" s="318">
        <f>G59*F60</f>
        <v>8.91</v>
      </c>
      <c r="H60" s="3"/>
      <c r="I60" s="24"/>
      <c r="J60" s="25">
        <f>H60</f>
        <v>0</v>
      </c>
      <c r="K60" s="25">
        <f>G60*H60</f>
        <v>0</v>
      </c>
      <c r="L60" s="25"/>
      <c r="M60" s="26">
        <f>K60</f>
        <v>0</v>
      </c>
      <c r="O60" s="356"/>
    </row>
    <row r="61" spans="1:15" s="23" customFormat="1" ht="12.75" x14ac:dyDescent="0.25">
      <c r="A61" s="43">
        <f t="shared" si="4"/>
        <v>51</v>
      </c>
      <c r="B61" s="14" t="s">
        <v>110</v>
      </c>
      <c r="C61" s="8" t="s">
        <v>20</v>
      </c>
      <c r="D61" s="5" t="s">
        <v>22</v>
      </c>
      <c r="E61" s="6" t="s">
        <v>24</v>
      </c>
      <c r="F61" s="7">
        <v>1</v>
      </c>
      <c r="G61" s="313">
        <v>62.05</v>
      </c>
      <c r="H61" s="2"/>
      <c r="I61" s="4"/>
      <c r="J61" s="21">
        <f>I61</f>
        <v>0</v>
      </c>
      <c r="K61" s="21"/>
      <c r="L61" s="21">
        <f>G61*I61</f>
        <v>0</v>
      </c>
      <c r="M61" s="22">
        <f>L61</f>
        <v>0</v>
      </c>
      <c r="O61" s="354"/>
    </row>
    <row r="62" spans="1:15" s="68" customFormat="1" ht="25.5" x14ac:dyDescent="0.25">
      <c r="A62" s="42">
        <f t="shared" si="4"/>
        <v>52</v>
      </c>
      <c r="B62" s="327"/>
      <c r="C62" s="314" t="s">
        <v>32</v>
      </c>
      <c r="D62" s="315" t="s">
        <v>25</v>
      </c>
      <c r="E62" s="328" t="s">
        <v>10</v>
      </c>
      <c r="F62" s="329">
        <v>0.05</v>
      </c>
      <c r="G62" s="318">
        <f>G61*0.2*F62</f>
        <v>0.62</v>
      </c>
      <c r="H62" s="3"/>
      <c r="I62" s="69"/>
      <c r="J62" s="25">
        <f t="shared" ref="J62:J67" si="5">H62</f>
        <v>0</v>
      </c>
      <c r="K62" s="25">
        <f t="shared" ref="K62:K67" si="6">G62*H62</f>
        <v>0</v>
      </c>
      <c r="L62" s="25"/>
      <c r="M62" s="26">
        <f t="shared" ref="M62:M67" si="7">K62</f>
        <v>0</v>
      </c>
      <c r="O62" s="356"/>
    </row>
    <row r="63" spans="1:15" s="68" customFormat="1" ht="25.5" x14ac:dyDescent="0.25">
      <c r="A63" s="42">
        <f t="shared" si="4"/>
        <v>53</v>
      </c>
      <c r="B63" s="327"/>
      <c r="C63" s="314" t="s">
        <v>33</v>
      </c>
      <c r="D63" s="315" t="s">
        <v>25</v>
      </c>
      <c r="E63" s="328" t="s">
        <v>10</v>
      </c>
      <c r="F63" s="329">
        <v>10</v>
      </c>
      <c r="G63" s="318">
        <f>G61*0.2*F63</f>
        <v>124.1</v>
      </c>
      <c r="H63" s="3"/>
      <c r="I63" s="69"/>
      <c r="J63" s="25">
        <f t="shared" si="5"/>
        <v>0</v>
      </c>
      <c r="K63" s="25">
        <f t="shared" si="6"/>
        <v>0</v>
      </c>
      <c r="L63" s="25"/>
      <c r="M63" s="26">
        <f t="shared" si="7"/>
        <v>0</v>
      </c>
      <c r="O63" s="356"/>
    </row>
    <row r="64" spans="1:15" s="68" customFormat="1" ht="25.5" x14ac:dyDescent="0.25">
      <c r="A64" s="42">
        <f t="shared" si="4"/>
        <v>54</v>
      </c>
      <c r="B64" s="15"/>
      <c r="C64" s="314" t="s">
        <v>13</v>
      </c>
      <c r="D64" s="315" t="s">
        <v>25</v>
      </c>
      <c r="E64" s="316" t="s">
        <v>14</v>
      </c>
      <c r="F64" s="317">
        <v>0.1</v>
      </c>
      <c r="G64" s="318">
        <f>G61*0.2*F64</f>
        <v>1.24</v>
      </c>
      <c r="H64" s="3"/>
      <c r="I64" s="24"/>
      <c r="J64" s="25">
        <f t="shared" si="5"/>
        <v>0</v>
      </c>
      <c r="K64" s="25">
        <f t="shared" si="6"/>
        <v>0</v>
      </c>
      <c r="L64" s="25"/>
      <c r="M64" s="26">
        <f t="shared" si="7"/>
        <v>0</v>
      </c>
      <c r="O64" s="356"/>
    </row>
    <row r="65" spans="1:16" s="68" customFormat="1" ht="25.5" x14ac:dyDescent="0.25">
      <c r="A65" s="42">
        <f t="shared" si="4"/>
        <v>55</v>
      </c>
      <c r="B65" s="327"/>
      <c r="C65" s="314" t="s">
        <v>23</v>
      </c>
      <c r="D65" s="330" t="s">
        <v>25</v>
      </c>
      <c r="E65" s="328" t="s">
        <v>10</v>
      </c>
      <c r="F65" s="329">
        <v>1.7</v>
      </c>
      <c r="G65" s="318">
        <f>G61*0.2*F65</f>
        <v>21.1</v>
      </c>
      <c r="H65" s="3"/>
      <c r="I65" s="69"/>
      <c r="J65" s="25">
        <f t="shared" si="5"/>
        <v>0</v>
      </c>
      <c r="K65" s="25">
        <f t="shared" si="6"/>
        <v>0</v>
      </c>
      <c r="L65" s="25"/>
      <c r="M65" s="26">
        <f t="shared" si="7"/>
        <v>0</v>
      </c>
      <c r="O65" s="356"/>
    </row>
    <row r="66" spans="1:16" s="68" customFormat="1" ht="25.5" x14ac:dyDescent="0.25">
      <c r="A66" s="42">
        <f t="shared" si="4"/>
        <v>56</v>
      </c>
      <c r="B66" s="15"/>
      <c r="C66" s="314" t="s">
        <v>104</v>
      </c>
      <c r="D66" s="315" t="s">
        <v>25</v>
      </c>
      <c r="E66" s="316" t="s">
        <v>14</v>
      </c>
      <c r="F66" s="317">
        <v>0.3</v>
      </c>
      <c r="G66" s="318">
        <f>56.94*0.2*F66</f>
        <v>3.42</v>
      </c>
      <c r="H66" s="3"/>
      <c r="I66" s="69"/>
      <c r="J66" s="25">
        <f t="shared" si="5"/>
        <v>0</v>
      </c>
      <c r="K66" s="25">
        <f t="shared" si="6"/>
        <v>0</v>
      </c>
      <c r="L66" s="25"/>
      <c r="M66" s="26">
        <f t="shared" si="7"/>
        <v>0</v>
      </c>
      <c r="O66" s="356"/>
    </row>
    <row r="67" spans="1:16" s="68" customFormat="1" ht="25.5" x14ac:dyDescent="0.25">
      <c r="A67" s="42">
        <f t="shared" si="4"/>
        <v>57</v>
      </c>
      <c r="B67" s="15"/>
      <c r="C67" s="314" t="s">
        <v>106</v>
      </c>
      <c r="D67" s="315" t="s">
        <v>25</v>
      </c>
      <c r="E67" s="316" t="s">
        <v>14</v>
      </c>
      <c r="F67" s="317">
        <v>0.3</v>
      </c>
      <c r="G67" s="318">
        <f>5.11*0.2*F67</f>
        <v>0.31</v>
      </c>
      <c r="H67" s="3"/>
      <c r="I67" s="69"/>
      <c r="J67" s="25">
        <f t="shared" si="5"/>
        <v>0</v>
      </c>
      <c r="K67" s="25">
        <f t="shared" si="6"/>
        <v>0</v>
      </c>
      <c r="L67" s="25"/>
      <c r="M67" s="26">
        <f t="shared" si="7"/>
        <v>0</v>
      </c>
      <c r="N67" s="71"/>
      <c r="O67" s="390"/>
      <c r="P67" s="71"/>
    </row>
    <row r="68" spans="1:16" s="44" customFormat="1" ht="25.5" customHeight="1" x14ac:dyDescent="0.25">
      <c r="A68" s="305">
        <f>ROW()-10</f>
        <v>58</v>
      </c>
      <c r="B68" s="306" t="s">
        <v>113</v>
      </c>
      <c r="C68" s="307" t="s">
        <v>112</v>
      </c>
      <c r="D68" s="36"/>
      <c r="E68" s="308"/>
      <c r="F68" s="309"/>
      <c r="G68" s="310"/>
      <c r="H68" s="39"/>
      <c r="I68" s="37"/>
      <c r="J68" s="28"/>
      <c r="K68" s="28"/>
      <c r="L68" s="28"/>
      <c r="M68" s="40"/>
      <c r="N68" s="23"/>
      <c r="O68" s="354"/>
      <c r="P68" s="23"/>
    </row>
    <row r="69" spans="1:16" s="23" customFormat="1" ht="12.75" x14ac:dyDescent="0.25">
      <c r="A69" s="43">
        <f t="shared" ref="A69:A99" si="8">ROW()-10</f>
        <v>59</v>
      </c>
      <c r="B69" s="14" t="s">
        <v>113</v>
      </c>
      <c r="C69" s="8" t="s">
        <v>16</v>
      </c>
      <c r="D69" s="5" t="s">
        <v>22</v>
      </c>
      <c r="E69" s="6" t="s">
        <v>8</v>
      </c>
      <c r="F69" s="7">
        <v>1</v>
      </c>
      <c r="G69" s="313">
        <v>126.2</v>
      </c>
      <c r="H69" s="2"/>
      <c r="I69" s="4"/>
      <c r="J69" s="21">
        <f>I69</f>
        <v>0</v>
      </c>
      <c r="K69" s="21"/>
      <c r="L69" s="21">
        <f>G69*I69</f>
        <v>0</v>
      </c>
      <c r="M69" s="22">
        <f>L69</f>
        <v>0</v>
      </c>
      <c r="O69" s="354"/>
    </row>
    <row r="70" spans="1:16" s="68" customFormat="1" ht="25.5" x14ac:dyDescent="0.25">
      <c r="A70" s="41">
        <f t="shared" si="8"/>
        <v>60</v>
      </c>
      <c r="B70" s="38" t="s">
        <v>59</v>
      </c>
      <c r="C70" s="314" t="s">
        <v>58</v>
      </c>
      <c r="D70" s="315" t="s">
        <v>25</v>
      </c>
      <c r="E70" s="316" t="s">
        <v>8</v>
      </c>
      <c r="F70" s="317">
        <v>1.07</v>
      </c>
      <c r="G70" s="318">
        <f>G69*F70</f>
        <v>135.03</v>
      </c>
      <c r="H70" s="3"/>
      <c r="I70" s="24"/>
      <c r="J70" s="25">
        <f>H70</f>
        <v>0</v>
      </c>
      <c r="K70" s="25">
        <f>G70*H70</f>
        <v>0</v>
      </c>
      <c r="L70" s="25"/>
      <c r="M70" s="26">
        <f>K70</f>
        <v>0</v>
      </c>
      <c r="O70" s="356"/>
    </row>
    <row r="71" spans="1:16" s="68" customFormat="1" ht="25.5" x14ac:dyDescent="0.25">
      <c r="A71" s="42">
        <f t="shared" si="8"/>
        <v>61</v>
      </c>
      <c r="B71" s="15"/>
      <c r="C71" s="314" t="s">
        <v>9</v>
      </c>
      <c r="D71" s="315" t="s">
        <v>25</v>
      </c>
      <c r="E71" s="316" t="s">
        <v>10</v>
      </c>
      <c r="F71" s="317">
        <v>12</v>
      </c>
      <c r="G71" s="318">
        <f>G69*F71</f>
        <v>1514.4</v>
      </c>
      <c r="H71" s="3"/>
      <c r="I71" s="24"/>
      <c r="J71" s="25">
        <f>H71</f>
        <v>0</v>
      </c>
      <c r="K71" s="25">
        <f>G71*H71</f>
        <v>0</v>
      </c>
      <c r="L71" s="25"/>
      <c r="M71" s="26">
        <f>K71</f>
        <v>0</v>
      </c>
      <c r="O71" s="356"/>
    </row>
    <row r="72" spans="1:16" s="68" customFormat="1" ht="25.5" x14ac:dyDescent="0.25">
      <c r="A72" s="42">
        <f t="shared" si="8"/>
        <v>62</v>
      </c>
      <c r="B72" s="15"/>
      <c r="C72" s="314" t="s">
        <v>11</v>
      </c>
      <c r="D72" s="315" t="s">
        <v>25</v>
      </c>
      <c r="E72" s="316" t="s">
        <v>10</v>
      </c>
      <c r="F72" s="317">
        <v>0.25</v>
      </c>
      <c r="G72" s="318">
        <f>G69*F72</f>
        <v>31.55</v>
      </c>
      <c r="H72" s="3"/>
      <c r="I72" s="24"/>
      <c r="J72" s="25">
        <f>H72</f>
        <v>0</v>
      </c>
      <c r="K72" s="25">
        <f>G72*H72</f>
        <v>0</v>
      </c>
      <c r="L72" s="25"/>
      <c r="M72" s="26">
        <f>K72</f>
        <v>0</v>
      </c>
      <c r="O72" s="356"/>
    </row>
    <row r="73" spans="1:16" s="23" customFormat="1" ht="25.5" x14ac:dyDescent="0.25">
      <c r="A73" s="43">
        <f t="shared" si="8"/>
        <v>63</v>
      </c>
      <c r="B73" s="14" t="s">
        <v>113</v>
      </c>
      <c r="C73" s="8" t="s">
        <v>45</v>
      </c>
      <c r="D73" s="5" t="s">
        <v>22</v>
      </c>
      <c r="E73" s="6" t="s">
        <v>12</v>
      </c>
      <c r="F73" s="7">
        <v>1</v>
      </c>
      <c r="G73" s="313">
        <v>94.9</v>
      </c>
      <c r="H73" s="2"/>
      <c r="I73" s="4"/>
      <c r="J73" s="21">
        <f>I73</f>
        <v>0</v>
      </c>
      <c r="K73" s="21"/>
      <c r="L73" s="21">
        <f>G73*I73</f>
        <v>0</v>
      </c>
      <c r="M73" s="22">
        <f>L73</f>
        <v>0</v>
      </c>
      <c r="O73" s="354"/>
    </row>
    <row r="74" spans="1:16" s="68" customFormat="1" ht="25.5" x14ac:dyDescent="0.25">
      <c r="A74" s="42">
        <f t="shared" si="8"/>
        <v>64</v>
      </c>
      <c r="B74" s="15" t="s">
        <v>61</v>
      </c>
      <c r="C74" s="314" t="s">
        <v>60</v>
      </c>
      <c r="D74" s="315" t="s">
        <v>25</v>
      </c>
      <c r="E74" s="316" t="s">
        <v>8</v>
      </c>
      <c r="F74" s="317">
        <v>1.07</v>
      </c>
      <c r="G74" s="318">
        <f>G73*0.3*F74</f>
        <v>30.46</v>
      </c>
      <c r="H74" s="3"/>
      <c r="I74" s="24"/>
      <c r="J74" s="25">
        <f>H74</f>
        <v>0</v>
      </c>
      <c r="K74" s="25">
        <f>G74*H74</f>
        <v>0</v>
      </c>
      <c r="L74" s="25"/>
      <c r="M74" s="26">
        <f>K74</f>
        <v>0</v>
      </c>
      <c r="O74" s="356"/>
    </row>
    <row r="75" spans="1:16" s="68" customFormat="1" ht="25.5" x14ac:dyDescent="0.25">
      <c r="A75" s="42">
        <f t="shared" si="8"/>
        <v>65</v>
      </c>
      <c r="B75" s="15"/>
      <c r="C75" s="314" t="s">
        <v>9</v>
      </c>
      <c r="D75" s="315" t="s">
        <v>25</v>
      </c>
      <c r="E75" s="316" t="s">
        <v>10</v>
      </c>
      <c r="F75" s="317">
        <v>12</v>
      </c>
      <c r="G75" s="318">
        <f>G73*0.3*F75</f>
        <v>341.64</v>
      </c>
      <c r="H75" s="3"/>
      <c r="I75" s="24"/>
      <c r="J75" s="25">
        <f>H75</f>
        <v>0</v>
      </c>
      <c r="K75" s="25">
        <f>G75*H75</f>
        <v>0</v>
      </c>
      <c r="L75" s="25"/>
      <c r="M75" s="26">
        <f>K75</f>
        <v>0</v>
      </c>
      <c r="O75" s="356"/>
    </row>
    <row r="76" spans="1:16" s="68" customFormat="1" ht="25.5" x14ac:dyDescent="0.25">
      <c r="A76" s="42">
        <f t="shared" si="8"/>
        <v>66</v>
      </c>
      <c r="B76" s="15"/>
      <c r="C76" s="314" t="s">
        <v>11</v>
      </c>
      <c r="D76" s="315" t="s">
        <v>25</v>
      </c>
      <c r="E76" s="316" t="s">
        <v>10</v>
      </c>
      <c r="F76" s="317">
        <v>0.25</v>
      </c>
      <c r="G76" s="318">
        <f>G73*0.3*F76</f>
        <v>7.12</v>
      </c>
      <c r="H76" s="3"/>
      <c r="I76" s="24"/>
      <c r="J76" s="25">
        <f>H76</f>
        <v>0</v>
      </c>
      <c r="K76" s="25">
        <f>G76*H76</f>
        <v>0</v>
      </c>
      <c r="L76" s="25"/>
      <c r="M76" s="26">
        <f>K76</f>
        <v>0</v>
      </c>
      <c r="O76" s="356"/>
    </row>
    <row r="77" spans="1:16" s="68" customFormat="1" ht="25.5" x14ac:dyDescent="0.25">
      <c r="A77" s="42">
        <f t="shared" si="8"/>
        <v>67</v>
      </c>
      <c r="B77" s="15"/>
      <c r="C77" s="314" t="s">
        <v>46</v>
      </c>
      <c r="D77" s="315" t="s">
        <v>25</v>
      </c>
      <c r="E77" s="316" t="s">
        <v>12</v>
      </c>
      <c r="F77" s="317">
        <v>1.1000000000000001</v>
      </c>
      <c r="G77" s="318">
        <f>G73*F77</f>
        <v>104.39</v>
      </c>
      <c r="H77" s="3"/>
      <c r="I77" s="24"/>
      <c r="J77" s="25">
        <f>H77</f>
        <v>0</v>
      </c>
      <c r="K77" s="25">
        <f>G77*H77</f>
        <v>0</v>
      </c>
      <c r="L77" s="25"/>
      <c r="M77" s="26">
        <f>K77</f>
        <v>0</v>
      </c>
      <c r="O77" s="356"/>
    </row>
    <row r="78" spans="1:16" s="23" customFormat="1" ht="25.5" x14ac:dyDescent="0.25">
      <c r="A78" s="43">
        <f t="shared" si="8"/>
        <v>68</v>
      </c>
      <c r="B78" s="14" t="s">
        <v>113</v>
      </c>
      <c r="C78" s="8" t="s">
        <v>114</v>
      </c>
      <c r="D78" s="5" t="s">
        <v>22</v>
      </c>
      <c r="E78" s="6" t="s">
        <v>8</v>
      </c>
      <c r="F78" s="7">
        <v>1</v>
      </c>
      <c r="G78" s="313">
        <f>17.9+2.7</f>
        <v>20.6</v>
      </c>
      <c r="H78" s="2"/>
      <c r="I78" s="4"/>
      <c r="J78" s="21">
        <f>I78</f>
        <v>0</v>
      </c>
      <c r="K78" s="21"/>
      <c r="L78" s="21">
        <f>G78*I78</f>
        <v>0</v>
      </c>
      <c r="M78" s="22">
        <f>L78</f>
        <v>0</v>
      </c>
      <c r="O78" s="354"/>
    </row>
    <row r="79" spans="1:16" s="68" customFormat="1" ht="25.5" x14ac:dyDescent="0.25">
      <c r="A79" s="41">
        <f t="shared" si="8"/>
        <v>69</v>
      </c>
      <c r="B79" s="38" t="s">
        <v>64</v>
      </c>
      <c r="C79" s="314" t="s">
        <v>63</v>
      </c>
      <c r="D79" s="315" t="s">
        <v>25</v>
      </c>
      <c r="E79" s="316" t="s">
        <v>8</v>
      </c>
      <c r="F79" s="317">
        <v>1.07</v>
      </c>
      <c r="G79" s="318">
        <f>G78*F79</f>
        <v>22.04</v>
      </c>
      <c r="H79" s="3"/>
      <c r="I79" s="24"/>
      <c r="J79" s="25">
        <f>H79</f>
        <v>0</v>
      </c>
      <c r="K79" s="25">
        <f>G79*H79</f>
        <v>0</v>
      </c>
      <c r="L79" s="25"/>
      <c r="M79" s="26">
        <f>K79</f>
        <v>0</v>
      </c>
      <c r="O79" s="356"/>
    </row>
    <row r="80" spans="1:16" s="68" customFormat="1" ht="25.5" x14ac:dyDescent="0.25">
      <c r="A80" s="42">
        <f t="shared" si="8"/>
        <v>70</v>
      </c>
      <c r="B80" s="15"/>
      <c r="C80" s="314" t="s">
        <v>9</v>
      </c>
      <c r="D80" s="315" t="s">
        <v>25</v>
      </c>
      <c r="E80" s="316" t="s">
        <v>10</v>
      </c>
      <c r="F80" s="317">
        <v>12</v>
      </c>
      <c r="G80" s="318">
        <f>G78*F80</f>
        <v>247.2</v>
      </c>
      <c r="H80" s="3"/>
      <c r="I80" s="24"/>
      <c r="J80" s="25">
        <f>H80</f>
        <v>0</v>
      </c>
      <c r="K80" s="25">
        <f>G80*H80</f>
        <v>0</v>
      </c>
      <c r="L80" s="25"/>
      <c r="M80" s="26">
        <f>K80</f>
        <v>0</v>
      </c>
      <c r="O80" s="356"/>
    </row>
    <row r="81" spans="1:15" s="68" customFormat="1" ht="25.5" x14ac:dyDescent="0.25">
      <c r="A81" s="42">
        <f t="shared" si="8"/>
        <v>71</v>
      </c>
      <c r="B81" s="15"/>
      <c r="C81" s="314" t="s">
        <v>11</v>
      </c>
      <c r="D81" s="315" t="s">
        <v>25</v>
      </c>
      <c r="E81" s="316" t="s">
        <v>10</v>
      </c>
      <c r="F81" s="317">
        <v>0.25</v>
      </c>
      <c r="G81" s="318">
        <f>G78*F81</f>
        <v>5.15</v>
      </c>
      <c r="H81" s="3"/>
      <c r="I81" s="24"/>
      <c r="J81" s="25">
        <f>H81</f>
        <v>0</v>
      </c>
      <c r="K81" s="25">
        <f>G81*H81</f>
        <v>0</v>
      </c>
      <c r="L81" s="25"/>
      <c r="M81" s="26">
        <f>K81</f>
        <v>0</v>
      </c>
      <c r="O81" s="356"/>
    </row>
    <row r="82" spans="1:15" s="23" customFormat="1" ht="25.5" x14ac:dyDescent="0.25">
      <c r="A82" s="43">
        <f t="shared" si="8"/>
        <v>72</v>
      </c>
      <c r="B82" s="14" t="s">
        <v>113</v>
      </c>
      <c r="C82" s="8" t="s">
        <v>116</v>
      </c>
      <c r="D82" s="5" t="s">
        <v>22</v>
      </c>
      <c r="E82" s="6" t="s">
        <v>8</v>
      </c>
      <c r="F82" s="7">
        <v>1</v>
      </c>
      <c r="G82" s="313">
        <f>7.3+7.26</f>
        <v>14.56</v>
      </c>
      <c r="H82" s="2"/>
      <c r="I82" s="4"/>
      <c r="J82" s="21">
        <f>I82</f>
        <v>0</v>
      </c>
      <c r="K82" s="21"/>
      <c r="L82" s="21">
        <f>G82*I82</f>
        <v>0</v>
      </c>
      <c r="M82" s="22">
        <f>L82</f>
        <v>0</v>
      </c>
      <c r="O82" s="354"/>
    </row>
    <row r="83" spans="1:15" s="68" customFormat="1" ht="25.5" x14ac:dyDescent="0.25">
      <c r="A83" s="42">
        <f t="shared" si="8"/>
        <v>73</v>
      </c>
      <c r="B83" s="38" t="s">
        <v>68</v>
      </c>
      <c r="C83" s="314" t="s">
        <v>67</v>
      </c>
      <c r="D83" s="315" t="s">
        <v>25</v>
      </c>
      <c r="E83" s="316" t="s">
        <v>8</v>
      </c>
      <c r="F83" s="317">
        <v>1.07</v>
      </c>
      <c r="G83" s="318">
        <f>G82*F83</f>
        <v>15.58</v>
      </c>
      <c r="H83" s="3"/>
      <c r="I83" s="24"/>
      <c r="J83" s="25">
        <f>H83</f>
        <v>0</v>
      </c>
      <c r="K83" s="25">
        <f>G83*H83</f>
        <v>0</v>
      </c>
      <c r="L83" s="25"/>
      <c r="M83" s="26">
        <f>K83</f>
        <v>0</v>
      </c>
      <c r="O83" s="356"/>
    </row>
    <row r="84" spans="1:15" s="68" customFormat="1" ht="25.5" x14ac:dyDescent="0.25">
      <c r="A84" s="42">
        <f t="shared" si="8"/>
        <v>74</v>
      </c>
      <c r="B84" s="15"/>
      <c r="C84" s="314" t="s">
        <v>9</v>
      </c>
      <c r="D84" s="315" t="s">
        <v>25</v>
      </c>
      <c r="E84" s="316" t="s">
        <v>10</v>
      </c>
      <c r="F84" s="317">
        <v>12</v>
      </c>
      <c r="G84" s="318">
        <f>G82*F84</f>
        <v>174.72</v>
      </c>
      <c r="H84" s="3"/>
      <c r="I84" s="24"/>
      <c r="J84" s="25">
        <f>H84</f>
        <v>0</v>
      </c>
      <c r="K84" s="25">
        <f>G84*H84</f>
        <v>0</v>
      </c>
      <c r="L84" s="25"/>
      <c r="M84" s="26">
        <f>K84</f>
        <v>0</v>
      </c>
      <c r="O84" s="356"/>
    </row>
    <row r="85" spans="1:15" s="68" customFormat="1" ht="25.5" x14ac:dyDescent="0.25">
      <c r="A85" s="42">
        <f t="shared" si="8"/>
        <v>75</v>
      </c>
      <c r="B85" s="15"/>
      <c r="C85" s="314" t="s">
        <v>11</v>
      </c>
      <c r="D85" s="315" t="s">
        <v>25</v>
      </c>
      <c r="E85" s="316" t="s">
        <v>10</v>
      </c>
      <c r="F85" s="317">
        <v>0.25</v>
      </c>
      <c r="G85" s="318">
        <f>G82*F85</f>
        <v>3.64</v>
      </c>
      <c r="H85" s="3"/>
      <c r="I85" s="24"/>
      <c r="J85" s="25">
        <f>H85</f>
        <v>0</v>
      </c>
      <c r="K85" s="25">
        <f>G85*H85</f>
        <v>0</v>
      </c>
      <c r="L85" s="25"/>
      <c r="M85" s="26">
        <f>K85</f>
        <v>0</v>
      </c>
      <c r="O85" s="356"/>
    </row>
    <row r="86" spans="1:15" s="23" customFormat="1" ht="25.5" x14ac:dyDescent="0.25">
      <c r="A86" s="43">
        <f t="shared" si="8"/>
        <v>76</v>
      </c>
      <c r="B86" s="14" t="s">
        <v>113</v>
      </c>
      <c r="C86" s="8" t="s">
        <v>115</v>
      </c>
      <c r="D86" s="5" t="s">
        <v>22</v>
      </c>
      <c r="E86" s="6" t="s">
        <v>8</v>
      </c>
      <c r="F86" s="7">
        <v>1</v>
      </c>
      <c r="G86" s="313">
        <f>4+3.96</f>
        <v>7.96</v>
      </c>
      <c r="H86" s="2"/>
      <c r="I86" s="4"/>
      <c r="J86" s="21">
        <f>I86</f>
        <v>0</v>
      </c>
      <c r="K86" s="21"/>
      <c r="L86" s="21">
        <f>G86*I86</f>
        <v>0</v>
      </c>
      <c r="M86" s="22">
        <f>L86</f>
        <v>0</v>
      </c>
      <c r="O86" s="354"/>
    </row>
    <row r="87" spans="1:15" s="68" customFormat="1" ht="25.5" x14ac:dyDescent="0.25">
      <c r="A87" s="42">
        <f t="shared" si="8"/>
        <v>77</v>
      </c>
      <c r="B87" s="38" t="s">
        <v>69</v>
      </c>
      <c r="C87" s="314" t="s">
        <v>67</v>
      </c>
      <c r="D87" s="315" t="s">
        <v>25</v>
      </c>
      <c r="E87" s="316" t="s">
        <v>8</v>
      </c>
      <c r="F87" s="317">
        <v>1.07</v>
      </c>
      <c r="G87" s="318">
        <f>G86*F87</f>
        <v>8.52</v>
      </c>
      <c r="H87" s="3"/>
      <c r="I87" s="24"/>
      <c r="J87" s="25">
        <f>H87</f>
        <v>0</v>
      </c>
      <c r="K87" s="25">
        <f>G87*H87</f>
        <v>0</v>
      </c>
      <c r="L87" s="25"/>
      <c r="M87" s="26">
        <f>K87</f>
        <v>0</v>
      </c>
      <c r="O87" s="356"/>
    </row>
    <row r="88" spans="1:15" s="68" customFormat="1" ht="25.5" x14ac:dyDescent="0.25">
      <c r="A88" s="42">
        <f t="shared" si="8"/>
        <v>78</v>
      </c>
      <c r="B88" s="15"/>
      <c r="C88" s="314" t="s">
        <v>9</v>
      </c>
      <c r="D88" s="315" t="s">
        <v>25</v>
      </c>
      <c r="E88" s="316" t="s">
        <v>10</v>
      </c>
      <c r="F88" s="317">
        <v>12</v>
      </c>
      <c r="G88" s="318">
        <f>G86*F88</f>
        <v>95.52</v>
      </c>
      <c r="H88" s="3"/>
      <c r="I88" s="24"/>
      <c r="J88" s="25">
        <f>H88</f>
        <v>0</v>
      </c>
      <c r="K88" s="25">
        <f>G88*H88</f>
        <v>0</v>
      </c>
      <c r="L88" s="25"/>
      <c r="M88" s="26">
        <f>K88</f>
        <v>0</v>
      </c>
      <c r="O88" s="356"/>
    </row>
    <row r="89" spans="1:15" s="68" customFormat="1" ht="25.5" x14ac:dyDescent="0.25">
      <c r="A89" s="42">
        <f t="shared" si="8"/>
        <v>79</v>
      </c>
      <c r="B89" s="15"/>
      <c r="C89" s="314" t="s">
        <v>11</v>
      </c>
      <c r="D89" s="315" t="s">
        <v>25</v>
      </c>
      <c r="E89" s="316" t="s">
        <v>10</v>
      </c>
      <c r="F89" s="317">
        <v>0.25</v>
      </c>
      <c r="G89" s="318">
        <f>G86*F89</f>
        <v>1.99</v>
      </c>
      <c r="H89" s="3"/>
      <c r="I89" s="24"/>
      <c r="J89" s="25">
        <f>H89</f>
        <v>0</v>
      </c>
      <c r="K89" s="25">
        <f>G89*H89</f>
        <v>0</v>
      </c>
      <c r="L89" s="25"/>
      <c r="M89" s="26">
        <f>K89</f>
        <v>0</v>
      </c>
      <c r="O89" s="356"/>
    </row>
    <row r="90" spans="1:15" s="23" customFormat="1" ht="25.5" x14ac:dyDescent="0.25">
      <c r="A90" s="43">
        <f t="shared" si="8"/>
        <v>80</v>
      </c>
      <c r="B90" s="14" t="s">
        <v>113</v>
      </c>
      <c r="C90" s="8" t="s">
        <v>17</v>
      </c>
      <c r="D90" s="5" t="s">
        <v>22</v>
      </c>
      <c r="E90" s="6" t="s">
        <v>12</v>
      </c>
      <c r="F90" s="7">
        <v>1</v>
      </c>
      <c r="G90" s="313">
        <v>18.5</v>
      </c>
      <c r="H90" s="2"/>
      <c r="I90" s="4"/>
      <c r="J90" s="21">
        <f>I90</f>
        <v>0</v>
      </c>
      <c r="K90" s="21"/>
      <c r="L90" s="21">
        <f>G90*I90</f>
        <v>0</v>
      </c>
      <c r="M90" s="22">
        <f>L90</f>
        <v>0</v>
      </c>
      <c r="O90" s="354"/>
    </row>
    <row r="91" spans="1:15" s="68" customFormat="1" ht="25.5" x14ac:dyDescent="0.25">
      <c r="A91" s="42">
        <f t="shared" si="8"/>
        <v>81</v>
      </c>
      <c r="B91" s="15" t="s">
        <v>65</v>
      </c>
      <c r="C91" s="314" t="s">
        <v>66</v>
      </c>
      <c r="D91" s="315" t="s">
        <v>25</v>
      </c>
      <c r="E91" s="316" t="s">
        <v>8</v>
      </c>
      <c r="F91" s="317">
        <v>1.07</v>
      </c>
      <c r="G91" s="318">
        <f>G90*0.1*F91</f>
        <v>1.98</v>
      </c>
      <c r="H91" s="3"/>
      <c r="I91" s="24"/>
      <c r="J91" s="25">
        <f>H91</f>
        <v>0</v>
      </c>
      <c r="K91" s="25">
        <f>G91*H91</f>
        <v>0</v>
      </c>
      <c r="L91" s="25"/>
      <c r="M91" s="26">
        <f>K91</f>
        <v>0</v>
      </c>
      <c r="O91" s="356"/>
    </row>
    <row r="92" spans="1:15" s="68" customFormat="1" ht="25.5" x14ac:dyDescent="0.25">
      <c r="A92" s="42">
        <f t="shared" si="8"/>
        <v>82</v>
      </c>
      <c r="B92" s="15"/>
      <c r="C92" s="314" t="s">
        <v>9</v>
      </c>
      <c r="D92" s="315" t="s">
        <v>25</v>
      </c>
      <c r="E92" s="316" t="s">
        <v>10</v>
      </c>
      <c r="F92" s="317">
        <v>12</v>
      </c>
      <c r="G92" s="318">
        <f>G90*0.1*F92</f>
        <v>22.2</v>
      </c>
      <c r="H92" s="3"/>
      <c r="I92" s="24"/>
      <c r="J92" s="25">
        <f>H92</f>
        <v>0</v>
      </c>
      <c r="K92" s="25">
        <f>G92*H92</f>
        <v>0</v>
      </c>
      <c r="L92" s="25"/>
      <c r="M92" s="26">
        <f>K92</f>
        <v>0</v>
      </c>
      <c r="O92" s="356"/>
    </row>
    <row r="93" spans="1:15" s="68" customFormat="1" ht="25.5" x14ac:dyDescent="0.25">
      <c r="A93" s="42">
        <f t="shared" si="8"/>
        <v>83</v>
      </c>
      <c r="B93" s="15"/>
      <c r="C93" s="314" t="s">
        <v>11</v>
      </c>
      <c r="D93" s="315" t="s">
        <v>25</v>
      </c>
      <c r="E93" s="316" t="s">
        <v>10</v>
      </c>
      <c r="F93" s="317">
        <v>0.25</v>
      </c>
      <c r="G93" s="318">
        <f>G90*0.1*F93</f>
        <v>0.46</v>
      </c>
      <c r="H93" s="3"/>
      <c r="I93" s="24"/>
      <c r="J93" s="25">
        <f>H93</f>
        <v>0</v>
      </c>
      <c r="K93" s="25">
        <f>G93*H93</f>
        <v>0</v>
      </c>
      <c r="L93" s="25"/>
      <c r="M93" s="26">
        <f>K93</f>
        <v>0</v>
      </c>
      <c r="O93" s="356"/>
    </row>
    <row r="94" spans="1:15" s="68" customFormat="1" ht="25.5" x14ac:dyDescent="0.25">
      <c r="A94" s="42">
        <f t="shared" si="8"/>
        <v>84</v>
      </c>
      <c r="B94" s="15"/>
      <c r="C94" s="314" t="s">
        <v>46</v>
      </c>
      <c r="D94" s="315" t="s">
        <v>25</v>
      </c>
      <c r="E94" s="316" t="s">
        <v>12</v>
      </c>
      <c r="F94" s="317">
        <v>1.1000000000000001</v>
      </c>
      <c r="G94" s="318">
        <f>G90*F94</f>
        <v>20.350000000000001</v>
      </c>
      <c r="H94" s="3"/>
      <c r="I94" s="24"/>
      <c r="J94" s="25">
        <f>H94</f>
        <v>0</v>
      </c>
      <c r="K94" s="25">
        <f>G94*H94</f>
        <v>0</v>
      </c>
      <c r="L94" s="25"/>
      <c r="M94" s="26">
        <f>K94</f>
        <v>0</v>
      </c>
      <c r="O94" s="356"/>
    </row>
    <row r="95" spans="1:15" s="23" customFormat="1" ht="12.75" x14ac:dyDescent="0.25">
      <c r="A95" s="43">
        <f t="shared" si="8"/>
        <v>85</v>
      </c>
      <c r="B95" s="14" t="s">
        <v>113</v>
      </c>
      <c r="C95" s="8" t="s">
        <v>47</v>
      </c>
      <c r="D95" s="5" t="s">
        <v>22</v>
      </c>
      <c r="E95" s="6" t="s">
        <v>8</v>
      </c>
      <c r="F95" s="7">
        <v>1</v>
      </c>
      <c r="G95" s="313">
        <f>G96</f>
        <v>16.5</v>
      </c>
      <c r="H95" s="2"/>
      <c r="I95" s="4"/>
      <c r="J95" s="21">
        <f>I95</f>
        <v>0</v>
      </c>
      <c r="K95" s="21"/>
      <c r="L95" s="21">
        <f>G95*I95</f>
        <v>0</v>
      </c>
      <c r="M95" s="22">
        <f>L95</f>
        <v>0</v>
      </c>
      <c r="O95" s="354"/>
    </row>
    <row r="96" spans="1:15" s="68" customFormat="1" ht="25.5" x14ac:dyDescent="0.25">
      <c r="A96" s="42">
        <f t="shared" si="8"/>
        <v>86</v>
      </c>
      <c r="B96" s="15" t="s">
        <v>73</v>
      </c>
      <c r="C96" s="331" t="s">
        <v>70</v>
      </c>
      <c r="D96" s="315" t="s">
        <v>25</v>
      </c>
      <c r="E96" s="316" t="s">
        <v>8</v>
      </c>
      <c r="F96" s="317">
        <v>1</v>
      </c>
      <c r="G96" s="318">
        <f>10.5+6</f>
        <v>16.5</v>
      </c>
      <c r="H96" s="30"/>
      <c r="I96" s="24"/>
      <c r="J96" s="25">
        <f>H96</f>
        <v>0</v>
      </c>
      <c r="K96" s="25">
        <f>G96*H96</f>
        <v>0</v>
      </c>
      <c r="L96" s="25"/>
      <c r="M96" s="26">
        <f>K96</f>
        <v>0</v>
      </c>
      <c r="O96" s="356"/>
    </row>
    <row r="97" spans="1:16" s="68" customFormat="1" ht="25.5" x14ac:dyDescent="0.25">
      <c r="A97" s="42">
        <f t="shared" si="8"/>
        <v>87</v>
      </c>
      <c r="B97" s="15" t="s">
        <v>74</v>
      </c>
      <c r="C97" s="331" t="s">
        <v>71</v>
      </c>
      <c r="D97" s="315" t="s">
        <v>25</v>
      </c>
      <c r="E97" s="316" t="s">
        <v>24</v>
      </c>
      <c r="F97" s="317">
        <v>1.1000000000000001</v>
      </c>
      <c r="G97" s="318">
        <f>24*F97</f>
        <v>26.4</v>
      </c>
      <c r="H97" s="30"/>
      <c r="I97" s="24"/>
      <c r="J97" s="25">
        <f>H97</f>
        <v>0</v>
      </c>
      <c r="K97" s="25">
        <f>G97*H97</f>
        <v>0</v>
      </c>
      <c r="L97" s="25"/>
      <c r="M97" s="26">
        <f>K97</f>
        <v>0</v>
      </c>
      <c r="O97" s="356"/>
    </row>
    <row r="98" spans="1:16" s="23" customFormat="1" ht="12.75" x14ac:dyDescent="0.25">
      <c r="A98" s="43">
        <f t="shared" si="8"/>
        <v>88</v>
      </c>
      <c r="B98" s="14" t="s">
        <v>113</v>
      </c>
      <c r="C98" s="8" t="s">
        <v>48</v>
      </c>
      <c r="D98" s="5" t="s">
        <v>22</v>
      </c>
      <c r="E98" s="6" t="s">
        <v>8</v>
      </c>
      <c r="F98" s="7">
        <v>1</v>
      </c>
      <c r="G98" s="313">
        <f>G99</f>
        <v>5.6</v>
      </c>
      <c r="H98" s="2"/>
      <c r="I98" s="4"/>
      <c r="J98" s="21">
        <f>I98</f>
        <v>0</v>
      </c>
      <c r="K98" s="21"/>
      <c r="L98" s="21">
        <f>G98*I98</f>
        <v>0</v>
      </c>
      <c r="M98" s="22">
        <f>L98</f>
        <v>0</v>
      </c>
      <c r="O98" s="354"/>
    </row>
    <row r="99" spans="1:16" s="68" customFormat="1" ht="25.5" x14ac:dyDescent="0.2">
      <c r="A99" s="42">
        <f t="shared" si="8"/>
        <v>89</v>
      </c>
      <c r="B99" s="15" t="s">
        <v>75</v>
      </c>
      <c r="C99" s="332" t="s">
        <v>72</v>
      </c>
      <c r="D99" s="315" t="s">
        <v>25</v>
      </c>
      <c r="E99" s="316" t="s">
        <v>8</v>
      </c>
      <c r="F99" s="317">
        <v>1</v>
      </c>
      <c r="G99" s="318">
        <f>2.8+2.8</f>
        <v>5.6</v>
      </c>
      <c r="H99" s="30"/>
      <c r="I99" s="24"/>
      <c r="J99" s="25">
        <f>H99</f>
        <v>0</v>
      </c>
      <c r="K99" s="25">
        <f>G99*H99</f>
        <v>0</v>
      </c>
      <c r="L99" s="25"/>
      <c r="M99" s="26">
        <f>K99</f>
        <v>0</v>
      </c>
      <c r="O99" s="356"/>
    </row>
    <row r="100" spans="1:16" s="23" customFormat="1" ht="12.75" x14ac:dyDescent="0.25">
      <c r="A100" s="297">
        <f>ROW()-10</f>
        <v>90</v>
      </c>
      <c r="B100" s="298" t="s">
        <v>84</v>
      </c>
      <c r="C100" s="299" t="s">
        <v>128</v>
      </c>
      <c r="D100" s="48"/>
      <c r="E100" s="300"/>
      <c r="F100" s="301"/>
      <c r="G100" s="302"/>
      <c r="H100" s="49"/>
      <c r="I100" s="50"/>
      <c r="J100" s="51"/>
      <c r="K100" s="51"/>
      <c r="L100" s="51"/>
      <c r="M100" s="52"/>
      <c r="N100" s="44"/>
      <c r="O100" s="355"/>
      <c r="P100" s="44"/>
    </row>
    <row r="101" spans="1:16" s="44" customFormat="1" ht="25.5" customHeight="1" x14ac:dyDescent="0.25">
      <c r="A101" s="305">
        <f>ROW()-10</f>
        <v>91</v>
      </c>
      <c r="B101" s="306" t="s">
        <v>87</v>
      </c>
      <c r="C101" s="307" t="s">
        <v>88</v>
      </c>
      <c r="D101" s="36"/>
      <c r="E101" s="308"/>
      <c r="F101" s="309"/>
      <c r="G101" s="310"/>
      <c r="H101" s="39"/>
      <c r="I101" s="37"/>
      <c r="J101" s="28"/>
      <c r="K101" s="28"/>
      <c r="L101" s="28"/>
      <c r="M101" s="40"/>
      <c r="N101" s="23"/>
      <c r="O101" s="354"/>
      <c r="P101" s="23"/>
    </row>
    <row r="102" spans="1:16" s="23" customFormat="1" ht="12.75" x14ac:dyDescent="0.25">
      <c r="A102" s="43">
        <f t="shared" ref="A102:A109" si="9">ROW()-10</f>
        <v>92</v>
      </c>
      <c r="B102" s="14" t="s">
        <v>99</v>
      </c>
      <c r="C102" s="55" t="s">
        <v>100</v>
      </c>
      <c r="D102" s="5" t="s">
        <v>22</v>
      </c>
      <c r="E102" s="6" t="s">
        <v>8</v>
      </c>
      <c r="F102" s="7">
        <v>1</v>
      </c>
      <c r="G102" s="313">
        <f>(56+14.7)*12</f>
        <v>848.4</v>
      </c>
      <c r="H102" s="2"/>
      <c r="I102" s="4"/>
      <c r="J102" s="21">
        <f>I102</f>
        <v>0</v>
      </c>
      <c r="K102" s="21"/>
      <c r="L102" s="21">
        <f>G102*I102</f>
        <v>0</v>
      </c>
      <c r="M102" s="22">
        <f>L102</f>
        <v>0</v>
      </c>
      <c r="O102" s="354"/>
    </row>
    <row r="103" spans="1:16" s="68" customFormat="1" ht="25.5" x14ac:dyDescent="0.25">
      <c r="A103" s="42">
        <f t="shared" si="9"/>
        <v>93</v>
      </c>
      <c r="B103" s="15"/>
      <c r="C103" s="326" t="s">
        <v>13</v>
      </c>
      <c r="D103" s="315" t="s">
        <v>25</v>
      </c>
      <c r="E103" s="316" t="s">
        <v>14</v>
      </c>
      <c r="F103" s="317">
        <v>0.1</v>
      </c>
      <c r="G103" s="318">
        <f>G102*F103</f>
        <v>84.84</v>
      </c>
      <c r="H103" s="3"/>
      <c r="I103" s="24"/>
      <c r="J103" s="25">
        <f>H103</f>
        <v>0</v>
      </c>
      <c r="K103" s="25">
        <f>G103*H103</f>
        <v>0</v>
      </c>
      <c r="L103" s="25"/>
      <c r="M103" s="26">
        <f>K103</f>
        <v>0</v>
      </c>
      <c r="O103" s="356"/>
    </row>
    <row r="104" spans="1:16" s="68" customFormat="1" ht="25.5" x14ac:dyDescent="0.25">
      <c r="A104" s="42">
        <f t="shared" si="9"/>
        <v>94</v>
      </c>
      <c r="B104" s="15"/>
      <c r="C104" s="326" t="s">
        <v>101</v>
      </c>
      <c r="D104" s="315" t="s">
        <v>25</v>
      </c>
      <c r="E104" s="316" t="s">
        <v>10</v>
      </c>
      <c r="F104" s="317">
        <v>1.2</v>
      </c>
      <c r="G104" s="318">
        <f>G102*F104</f>
        <v>1018.08</v>
      </c>
      <c r="H104" s="3"/>
      <c r="I104" s="24"/>
      <c r="J104" s="25">
        <f>H104</f>
        <v>0</v>
      </c>
      <c r="K104" s="25">
        <f>G104*H104</f>
        <v>0</v>
      </c>
      <c r="L104" s="25"/>
      <c r="M104" s="26">
        <f>K104</f>
        <v>0</v>
      </c>
      <c r="O104" s="356"/>
    </row>
    <row r="105" spans="1:16" s="68" customFormat="1" ht="25.5" x14ac:dyDescent="0.25">
      <c r="A105" s="42">
        <f t="shared" si="9"/>
        <v>95</v>
      </c>
      <c r="B105" s="15"/>
      <c r="C105" s="314" t="s">
        <v>23</v>
      </c>
      <c r="D105" s="315" t="s">
        <v>25</v>
      </c>
      <c r="E105" s="316" t="s">
        <v>10</v>
      </c>
      <c r="F105" s="317">
        <v>1.7</v>
      </c>
      <c r="G105" s="318">
        <f>G102*F105</f>
        <v>1442.28</v>
      </c>
      <c r="H105" s="3"/>
      <c r="I105" s="24"/>
      <c r="J105" s="25">
        <f>H105</f>
        <v>0</v>
      </c>
      <c r="K105" s="25">
        <f>G105*H105</f>
        <v>0</v>
      </c>
      <c r="L105" s="25"/>
      <c r="M105" s="26">
        <f>K105</f>
        <v>0</v>
      </c>
      <c r="O105" s="356"/>
    </row>
    <row r="106" spans="1:16" s="23" customFormat="1" ht="38.25" x14ac:dyDescent="0.25">
      <c r="A106" s="43">
        <f t="shared" si="9"/>
        <v>96</v>
      </c>
      <c r="B106" s="14" t="s">
        <v>102</v>
      </c>
      <c r="C106" s="8" t="s">
        <v>103</v>
      </c>
      <c r="D106" s="5" t="s">
        <v>22</v>
      </c>
      <c r="E106" s="6" t="s">
        <v>8</v>
      </c>
      <c r="F106" s="7">
        <v>1</v>
      </c>
      <c r="G106" s="313">
        <f>G102</f>
        <v>848.4</v>
      </c>
      <c r="H106" s="2"/>
      <c r="I106" s="4"/>
      <c r="J106" s="21">
        <f>I106</f>
        <v>0</v>
      </c>
      <c r="K106" s="21"/>
      <c r="L106" s="21">
        <f>G106*I106</f>
        <v>0</v>
      </c>
      <c r="M106" s="22">
        <f>L106</f>
        <v>0</v>
      </c>
      <c r="O106" s="354"/>
    </row>
    <row r="107" spans="1:16" s="68" customFormat="1" ht="25.5" x14ac:dyDescent="0.25">
      <c r="A107" s="42">
        <f t="shared" si="9"/>
        <v>97</v>
      </c>
      <c r="B107" s="15"/>
      <c r="C107" s="314" t="s">
        <v>13</v>
      </c>
      <c r="D107" s="315" t="s">
        <v>25</v>
      </c>
      <c r="E107" s="316" t="s">
        <v>14</v>
      </c>
      <c r="F107" s="317">
        <v>0.1</v>
      </c>
      <c r="G107" s="318">
        <f>G106*F107</f>
        <v>84.84</v>
      </c>
      <c r="H107" s="3"/>
      <c r="I107" s="24"/>
      <c r="J107" s="25">
        <f>H107</f>
        <v>0</v>
      </c>
      <c r="K107" s="25">
        <f>G107*H107</f>
        <v>0</v>
      </c>
      <c r="L107" s="25"/>
      <c r="M107" s="26">
        <f>K107</f>
        <v>0</v>
      </c>
      <c r="O107" s="356"/>
    </row>
    <row r="108" spans="1:16" s="68" customFormat="1" ht="25.5" x14ac:dyDescent="0.25">
      <c r="A108" s="42">
        <f t="shared" si="9"/>
        <v>98</v>
      </c>
      <c r="B108" s="38"/>
      <c r="C108" s="314" t="s">
        <v>118</v>
      </c>
      <c r="D108" s="315" t="s">
        <v>25</v>
      </c>
      <c r="E108" s="316" t="s">
        <v>14</v>
      </c>
      <c r="F108" s="317">
        <v>0.3</v>
      </c>
      <c r="G108" s="318">
        <f>56*12*F108</f>
        <v>201.6</v>
      </c>
      <c r="H108" s="3"/>
      <c r="I108" s="24"/>
      <c r="J108" s="25">
        <f>H108</f>
        <v>0</v>
      </c>
      <c r="K108" s="25">
        <f>G108*H108</f>
        <v>0</v>
      </c>
      <c r="L108" s="25"/>
      <c r="M108" s="26">
        <f>K108</f>
        <v>0</v>
      </c>
      <c r="O108" s="356"/>
    </row>
    <row r="109" spans="1:16" s="68" customFormat="1" ht="25.5" x14ac:dyDescent="0.25">
      <c r="A109" s="42">
        <f t="shared" si="9"/>
        <v>99</v>
      </c>
      <c r="B109" s="38"/>
      <c r="C109" s="314" t="s">
        <v>122</v>
      </c>
      <c r="D109" s="315" t="s">
        <v>25</v>
      </c>
      <c r="E109" s="316" t="s">
        <v>14</v>
      </c>
      <c r="F109" s="317">
        <v>0.3</v>
      </c>
      <c r="G109" s="318">
        <f>14.7*12*F109</f>
        <v>52.92</v>
      </c>
      <c r="H109" s="3"/>
      <c r="I109" s="24"/>
      <c r="J109" s="25">
        <f>H109</f>
        <v>0</v>
      </c>
      <c r="K109" s="25">
        <f>G109*H109</f>
        <v>0</v>
      </c>
      <c r="L109" s="25"/>
      <c r="M109" s="26">
        <f>K109</f>
        <v>0</v>
      </c>
      <c r="N109" s="71"/>
      <c r="O109" s="390"/>
      <c r="P109" s="71"/>
    </row>
    <row r="110" spans="1:16" s="44" customFormat="1" ht="25.5" customHeight="1" x14ac:dyDescent="0.25">
      <c r="A110" s="256">
        <f>ROW()-10</f>
        <v>100</v>
      </c>
      <c r="B110" s="306" t="s">
        <v>110</v>
      </c>
      <c r="C110" s="307" t="s">
        <v>109</v>
      </c>
      <c r="D110" s="36"/>
      <c r="E110" s="308"/>
      <c r="F110" s="309"/>
      <c r="G110" s="310"/>
      <c r="H110" s="39"/>
      <c r="I110" s="37"/>
      <c r="J110" s="28"/>
      <c r="K110" s="28"/>
      <c r="L110" s="28"/>
      <c r="M110" s="40"/>
      <c r="N110" s="27"/>
      <c r="O110" s="357"/>
      <c r="P110" s="27"/>
    </row>
    <row r="111" spans="1:16" s="27" customFormat="1" ht="12.75" x14ac:dyDescent="0.25">
      <c r="A111" s="43">
        <f t="shared" ref="A111:A130" si="10">ROW()-10</f>
        <v>101</v>
      </c>
      <c r="B111" s="14" t="s">
        <v>110</v>
      </c>
      <c r="C111" s="55" t="s">
        <v>21</v>
      </c>
      <c r="D111" s="5" t="s">
        <v>22</v>
      </c>
      <c r="E111" s="6" t="s">
        <v>8</v>
      </c>
      <c r="F111" s="7">
        <v>1</v>
      </c>
      <c r="G111" s="18">
        <f>192.08*12</f>
        <v>2304.96</v>
      </c>
      <c r="H111" s="2"/>
      <c r="I111" s="4"/>
      <c r="J111" s="21">
        <f>I111</f>
        <v>0</v>
      </c>
      <c r="K111" s="21"/>
      <c r="L111" s="21">
        <f>G111*I111</f>
        <v>0</v>
      </c>
      <c r="M111" s="22">
        <f>L111</f>
        <v>0</v>
      </c>
      <c r="O111" s="357"/>
    </row>
    <row r="112" spans="1:16" s="27" customFormat="1" ht="25.5" x14ac:dyDescent="0.25">
      <c r="A112" s="42">
        <f t="shared" si="10"/>
        <v>102</v>
      </c>
      <c r="B112" s="15"/>
      <c r="C112" s="326" t="s">
        <v>13</v>
      </c>
      <c r="D112" s="315" t="s">
        <v>25</v>
      </c>
      <c r="E112" s="316" t="s">
        <v>14</v>
      </c>
      <c r="F112" s="317">
        <v>0.1</v>
      </c>
      <c r="G112" s="9">
        <f>G111*F112</f>
        <v>230.5</v>
      </c>
      <c r="H112" s="3"/>
      <c r="I112" s="24"/>
      <c r="J112" s="25">
        <f>H112</f>
        <v>0</v>
      </c>
      <c r="K112" s="25">
        <f>G112*H112</f>
        <v>0</v>
      </c>
      <c r="L112" s="25"/>
      <c r="M112" s="26">
        <f>K112</f>
        <v>0</v>
      </c>
      <c r="O112" s="357"/>
    </row>
    <row r="113" spans="1:16" s="27" customFormat="1" ht="25.5" x14ac:dyDescent="0.25">
      <c r="A113" s="42">
        <f t="shared" si="10"/>
        <v>103</v>
      </c>
      <c r="B113" s="15"/>
      <c r="C113" s="326" t="s">
        <v>52</v>
      </c>
      <c r="D113" s="315" t="s">
        <v>25</v>
      </c>
      <c r="E113" s="316" t="s">
        <v>10</v>
      </c>
      <c r="F113" s="317">
        <v>1.2</v>
      </c>
      <c r="G113" s="9">
        <f>G111*F113</f>
        <v>2765.95</v>
      </c>
      <c r="H113" s="3"/>
      <c r="I113" s="53"/>
      <c r="J113" s="25">
        <f>H113</f>
        <v>0</v>
      </c>
      <c r="K113" s="25">
        <f>G113*H113</f>
        <v>0</v>
      </c>
      <c r="L113" s="25"/>
      <c r="M113" s="26">
        <f>K113</f>
        <v>0</v>
      </c>
      <c r="O113" s="357"/>
    </row>
    <row r="114" spans="1:16" s="27" customFormat="1" ht="25.5" x14ac:dyDescent="0.25">
      <c r="A114" s="42">
        <f t="shared" si="10"/>
        <v>104</v>
      </c>
      <c r="B114" s="15"/>
      <c r="C114" s="314" t="s">
        <v>23</v>
      </c>
      <c r="D114" s="315" t="s">
        <v>25</v>
      </c>
      <c r="E114" s="316" t="s">
        <v>10</v>
      </c>
      <c r="F114" s="317">
        <v>1.7</v>
      </c>
      <c r="G114" s="9">
        <f>G111*F114</f>
        <v>3918.43</v>
      </c>
      <c r="H114" s="3"/>
      <c r="I114" s="24"/>
      <c r="J114" s="25">
        <f>H114</f>
        <v>0</v>
      </c>
      <c r="K114" s="25">
        <f>G114*H114</f>
        <v>0</v>
      </c>
      <c r="L114" s="25"/>
      <c r="M114" s="26">
        <f>K114</f>
        <v>0</v>
      </c>
      <c r="O114" s="357"/>
    </row>
    <row r="115" spans="1:16" s="27" customFormat="1" ht="45" customHeight="1" x14ac:dyDescent="0.25">
      <c r="A115" s="43">
        <f t="shared" si="10"/>
        <v>105</v>
      </c>
      <c r="B115" s="14" t="s">
        <v>110</v>
      </c>
      <c r="C115" s="54" t="s">
        <v>18</v>
      </c>
      <c r="D115" s="5" t="s">
        <v>22</v>
      </c>
      <c r="E115" s="6" t="s">
        <v>8</v>
      </c>
      <c r="F115" s="7">
        <v>1</v>
      </c>
      <c r="G115" s="18">
        <f>16.53*12</f>
        <v>198.36</v>
      </c>
      <c r="H115" s="2"/>
      <c r="I115" s="4"/>
      <c r="J115" s="21">
        <f>I115</f>
        <v>0</v>
      </c>
      <c r="K115" s="21"/>
      <c r="L115" s="21">
        <f>G115*I115</f>
        <v>0</v>
      </c>
      <c r="M115" s="22">
        <f>L115</f>
        <v>0</v>
      </c>
      <c r="N115" s="23"/>
      <c r="O115" s="354"/>
      <c r="P115" s="23"/>
    </row>
    <row r="116" spans="1:16" s="68" customFormat="1" ht="25.5" x14ac:dyDescent="0.25">
      <c r="A116" s="42">
        <f t="shared" si="10"/>
        <v>106</v>
      </c>
      <c r="B116" s="15"/>
      <c r="C116" s="314" t="s">
        <v>58</v>
      </c>
      <c r="D116" s="315" t="s">
        <v>25</v>
      </c>
      <c r="E116" s="316" t="s">
        <v>8</v>
      </c>
      <c r="F116" s="317">
        <v>1.07</v>
      </c>
      <c r="G116" s="318">
        <f>G115*F116</f>
        <v>212.25</v>
      </c>
      <c r="H116" s="3"/>
      <c r="I116" s="24"/>
      <c r="J116" s="25">
        <f>H116</f>
        <v>0</v>
      </c>
      <c r="K116" s="25">
        <f>G116*H116</f>
        <v>0</v>
      </c>
      <c r="L116" s="25"/>
      <c r="M116" s="26">
        <f>K116</f>
        <v>0</v>
      </c>
      <c r="O116" s="356"/>
    </row>
    <row r="117" spans="1:16" s="68" customFormat="1" ht="25.5" x14ac:dyDescent="0.25">
      <c r="A117" s="42">
        <f t="shared" si="10"/>
        <v>107</v>
      </c>
      <c r="B117" s="15"/>
      <c r="C117" s="314" t="s">
        <v>9</v>
      </c>
      <c r="D117" s="315" t="s">
        <v>25</v>
      </c>
      <c r="E117" s="316" t="s">
        <v>10</v>
      </c>
      <c r="F117" s="317">
        <v>12</v>
      </c>
      <c r="G117" s="318">
        <f>G115*0.3*F117</f>
        <v>714.1</v>
      </c>
      <c r="H117" s="3"/>
      <c r="I117" s="24"/>
      <c r="J117" s="25">
        <f>H117</f>
        <v>0</v>
      </c>
      <c r="K117" s="25">
        <f>G117*H117</f>
        <v>0</v>
      </c>
      <c r="L117" s="25"/>
      <c r="M117" s="26">
        <f>K117</f>
        <v>0</v>
      </c>
      <c r="O117" s="356"/>
    </row>
    <row r="118" spans="1:16" s="68" customFormat="1" ht="25.5" x14ac:dyDescent="0.25">
      <c r="A118" s="42">
        <f t="shared" si="10"/>
        <v>108</v>
      </c>
      <c r="B118" s="15"/>
      <c r="C118" s="314" t="s">
        <v>11</v>
      </c>
      <c r="D118" s="315" t="s">
        <v>25</v>
      </c>
      <c r="E118" s="316" t="s">
        <v>10</v>
      </c>
      <c r="F118" s="317">
        <v>0.25</v>
      </c>
      <c r="G118" s="318">
        <f>G115*0.3*F118</f>
        <v>14.88</v>
      </c>
      <c r="H118" s="3"/>
      <c r="I118" s="24"/>
      <c r="J118" s="25">
        <f>H118</f>
        <v>0</v>
      </c>
      <c r="K118" s="25">
        <f>G118*H118</f>
        <v>0</v>
      </c>
      <c r="L118" s="25"/>
      <c r="M118" s="26">
        <f>K118</f>
        <v>0</v>
      </c>
      <c r="O118" s="356"/>
    </row>
    <row r="119" spans="1:16" s="68" customFormat="1" ht="25.5" x14ac:dyDescent="0.25">
      <c r="A119" s="42">
        <f t="shared" si="10"/>
        <v>109</v>
      </c>
      <c r="B119" s="15"/>
      <c r="C119" s="314" t="s">
        <v>46</v>
      </c>
      <c r="D119" s="315" t="s">
        <v>25</v>
      </c>
      <c r="E119" s="316" t="s">
        <v>12</v>
      </c>
      <c r="F119" s="317">
        <v>1.1000000000000001</v>
      </c>
      <c r="G119" s="318">
        <f>8.21*12*F119</f>
        <v>108.37</v>
      </c>
      <c r="H119" s="3"/>
      <c r="I119" s="24"/>
      <c r="J119" s="25">
        <f>H119</f>
        <v>0</v>
      </c>
      <c r="K119" s="25">
        <f>G119*H119</f>
        <v>0</v>
      </c>
      <c r="L119" s="25"/>
      <c r="M119" s="26">
        <f>K119</f>
        <v>0</v>
      </c>
      <c r="N119" s="27"/>
      <c r="O119" s="357"/>
      <c r="P119" s="27"/>
    </row>
    <row r="120" spans="1:16" s="27" customFormat="1" ht="12.75" x14ac:dyDescent="0.25">
      <c r="A120" s="43">
        <f t="shared" si="10"/>
        <v>110</v>
      </c>
      <c r="B120" s="14" t="s">
        <v>110</v>
      </c>
      <c r="C120" s="8" t="s">
        <v>19</v>
      </c>
      <c r="D120" s="5" t="s">
        <v>22</v>
      </c>
      <c r="E120" s="6" t="s">
        <v>8</v>
      </c>
      <c r="F120" s="7">
        <v>1</v>
      </c>
      <c r="G120" s="18">
        <f>G111</f>
        <v>2304.96</v>
      </c>
      <c r="H120" s="2"/>
      <c r="I120" s="4"/>
      <c r="J120" s="21">
        <f>I120</f>
        <v>0</v>
      </c>
      <c r="K120" s="21"/>
      <c r="L120" s="21">
        <f>G120*I120</f>
        <v>0</v>
      </c>
      <c r="M120" s="22">
        <f>L120</f>
        <v>0</v>
      </c>
      <c r="N120" s="23"/>
      <c r="O120" s="354"/>
      <c r="P120" s="23"/>
    </row>
    <row r="121" spans="1:16" s="68" customFormat="1" ht="25.5" x14ac:dyDescent="0.25">
      <c r="A121" s="42">
        <f t="shared" si="10"/>
        <v>111</v>
      </c>
      <c r="B121" s="15"/>
      <c r="C121" s="314" t="s">
        <v>13</v>
      </c>
      <c r="D121" s="315" t="s">
        <v>25</v>
      </c>
      <c r="E121" s="316" t="s">
        <v>14</v>
      </c>
      <c r="F121" s="317">
        <v>0.1</v>
      </c>
      <c r="G121" s="318">
        <f>G120*F121</f>
        <v>230.5</v>
      </c>
      <c r="H121" s="3"/>
      <c r="I121" s="24"/>
      <c r="J121" s="25">
        <f>H121</f>
        <v>0</v>
      </c>
      <c r="K121" s="25">
        <f>G121*H121</f>
        <v>0</v>
      </c>
      <c r="L121" s="25"/>
      <c r="M121" s="26">
        <f>K121</f>
        <v>0</v>
      </c>
      <c r="O121" s="356"/>
    </row>
    <row r="122" spans="1:16" s="68" customFormat="1" ht="25.5" x14ac:dyDescent="0.25">
      <c r="A122" s="42">
        <f t="shared" si="10"/>
        <v>112</v>
      </c>
      <c r="B122" s="15"/>
      <c r="C122" s="314" t="s">
        <v>104</v>
      </c>
      <c r="D122" s="315" t="s">
        <v>25</v>
      </c>
      <c r="E122" s="316" t="s">
        <v>14</v>
      </c>
      <c r="F122" s="317">
        <v>0.3</v>
      </c>
      <c r="G122" s="318">
        <f>171.49*12*F122</f>
        <v>617.36</v>
      </c>
      <c r="H122" s="3"/>
      <c r="I122" s="24"/>
      <c r="J122" s="25">
        <f>H122</f>
        <v>0</v>
      </c>
      <c r="K122" s="25">
        <f>G122*H122</f>
        <v>0</v>
      </c>
      <c r="L122" s="25"/>
      <c r="M122" s="26">
        <f>K122</f>
        <v>0</v>
      </c>
      <c r="O122" s="356"/>
    </row>
    <row r="123" spans="1:16" s="68" customFormat="1" ht="25.5" x14ac:dyDescent="0.25">
      <c r="A123" s="42">
        <f t="shared" si="10"/>
        <v>113</v>
      </c>
      <c r="B123" s="15"/>
      <c r="C123" s="314" t="s">
        <v>105</v>
      </c>
      <c r="D123" s="315" t="s">
        <v>25</v>
      </c>
      <c r="E123" s="316" t="s">
        <v>14</v>
      </c>
      <c r="F123" s="317">
        <v>0.3</v>
      </c>
      <c r="G123" s="318">
        <f>13.1*12*F123</f>
        <v>47.16</v>
      </c>
      <c r="H123" s="3"/>
      <c r="I123" s="24"/>
      <c r="J123" s="25">
        <f>H123</f>
        <v>0</v>
      </c>
      <c r="K123" s="25">
        <f>G123*H123</f>
        <v>0</v>
      </c>
      <c r="L123" s="25"/>
      <c r="M123" s="26">
        <f>K123</f>
        <v>0</v>
      </c>
      <c r="O123" s="356"/>
    </row>
    <row r="124" spans="1:16" s="68" customFormat="1" ht="25.5" x14ac:dyDescent="0.25">
      <c r="A124" s="42">
        <f t="shared" si="10"/>
        <v>114</v>
      </c>
      <c r="B124" s="15"/>
      <c r="C124" s="314" t="s">
        <v>106</v>
      </c>
      <c r="D124" s="315" t="s">
        <v>25</v>
      </c>
      <c r="E124" s="316" t="s">
        <v>14</v>
      </c>
      <c r="F124" s="317">
        <v>0.3</v>
      </c>
      <c r="G124" s="318">
        <f>7.48*12*F124</f>
        <v>26.93</v>
      </c>
      <c r="H124" s="3"/>
      <c r="I124" s="24"/>
      <c r="J124" s="25">
        <f>H124</f>
        <v>0</v>
      </c>
      <c r="K124" s="25">
        <f>G124*H124</f>
        <v>0</v>
      </c>
      <c r="L124" s="25"/>
      <c r="M124" s="26">
        <f>K124</f>
        <v>0</v>
      </c>
      <c r="N124" s="27"/>
      <c r="O124" s="357"/>
      <c r="P124" s="27"/>
    </row>
    <row r="125" spans="1:16" s="27" customFormat="1" ht="21.75" customHeight="1" x14ac:dyDescent="0.25">
      <c r="A125" s="43">
        <f t="shared" si="10"/>
        <v>115</v>
      </c>
      <c r="B125" s="14" t="s">
        <v>110</v>
      </c>
      <c r="C125" s="8" t="s">
        <v>20</v>
      </c>
      <c r="D125" s="5" t="s">
        <v>22</v>
      </c>
      <c r="E125" s="6" t="s">
        <v>24</v>
      </c>
      <c r="F125" s="7">
        <v>1</v>
      </c>
      <c r="G125" s="18">
        <f>89.33*12</f>
        <v>1071.96</v>
      </c>
      <c r="H125" s="2"/>
      <c r="I125" s="4"/>
      <c r="J125" s="21">
        <f>I125</f>
        <v>0</v>
      </c>
      <c r="K125" s="21"/>
      <c r="L125" s="21">
        <f>G125*I125</f>
        <v>0</v>
      </c>
      <c r="M125" s="22">
        <f>L125</f>
        <v>0</v>
      </c>
      <c r="O125" s="357"/>
    </row>
    <row r="126" spans="1:16" s="27" customFormat="1" ht="25.5" customHeight="1" x14ac:dyDescent="0.25">
      <c r="A126" s="42">
        <f t="shared" si="10"/>
        <v>116</v>
      </c>
      <c r="B126" s="15"/>
      <c r="C126" s="314" t="s">
        <v>32</v>
      </c>
      <c r="D126" s="315" t="s">
        <v>25</v>
      </c>
      <c r="E126" s="328" t="s">
        <v>10</v>
      </c>
      <c r="F126" s="329">
        <v>0.05</v>
      </c>
      <c r="G126" s="318">
        <f>G125*0.2*F126</f>
        <v>10.72</v>
      </c>
      <c r="H126" s="3"/>
      <c r="I126" s="24"/>
      <c r="J126" s="25">
        <f>H126</f>
        <v>0</v>
      </c>
      <c r="K126" s="25">
        <f>G126*H126</f>
        <v>0</v>
      </c>
      <c r="L126" s="25"/>
      <c r="M126" s="26">
        <f>K126</f>
        <v>0</v>
      </c>
      <c r="O126" s="357"/>
    </row>
    <row r="127" spans="1:16" s="27" customFormat="1" ht="25.5" x14ac:dyDescent="0.25">
      <c r="A127" s="42">
        <f t="shared" si="10"/>
        <v>117</v>
      </c>
      <c r="B127" s="15"/>
      <c r="C127" s="314" t="s">
        <v>33</v>
      </c>
      <c r="D127" s="315" t="s">
        <v>25</v>
      </c>
      <c r="E127" s="328" t="s">
        <v>10</v>
      </c>
      <c r="F127" s="329">
        <v>10</v>
      </c>
      <c r="G127" s="318">
        <f>G125*0.2*F127</f>
        <v>2143.92</v>
      </c>
      <c r="H127" s="3"/>
      <c r="I127" s="24"/>
      <c r="J127" s="25">
        <f>H127</f>
        <v>0</v>
      </c>
      <c r="K127" s="25">
        <f>G127*H127</f>
        <v>0</v>
      </c>
      <c r="L127" s="25"/>
      <c r="M127" s="26">
        <f>K127</f>
        <v>0</v>
      </c>
      <c r="O127" s="357"/>
    </row>
    <row r="128" spans="1:16" s="27" customFormat="1" ht="25.5" x14ac:dyDescent="0.25">
      <c r="A128" s="42">
        <f t="shared" si="10"/>
        <v>118</v>
      </c>
      <c r="B128" s="15"/>
      <c r="C128" s="314" t="s">
        <v>13</v>
      </c>
      <c r="D128" s="315" t="s">
        <v>25</v>
      </c>
      <c r="E128" s="316" t="s">
        <v>14</v>
      </c>
      <c r="F128" s="317">
        <v>0.1</v>
      </c>
      <c r="G128" s="318">
        <f>G125*0.2*F128</f>
        <v>21.44</v>
      </c>
      <c r="H128" s="3"/>
      <c r="I128" s="24"/>
      <c r="J128" s="25">
        <f>H128</f>
        <v>0</v>
      </c>
      <c r="K128" s="25">
        <f>G128*H128</f>
        <v>0</v>
      </c>
      <c r="L128" s="25"/>
      <c r="M128" s="26">
        <f>K128</f>
        <v>0</v>
      </c>
      <c r="O128" s="357"/>
    </row>
    <row r="129" spans="1:16" s="27" customFormat="1" ht="25.5" x14ac:dyDescent="0.25">
      <c r="A129" s="42">
        <f t="shared" si="10"/>
        <v>119</v>
      </c>
      <c r="B129" s="15"/>
      <c r="C129" s="314" t="s">
        <v>23</v>
      </c>
      <c r="D129" s="330" t="s">
        <v>25</v>
      </c>
      <c r="E129" s="328" t="s">
        <v>10</v>
      </c>
      <c r="F129" s="329">
        <v>1.7</v>
      </c>
      <c r="G129" s="318">
        <f>G125*0.2*F129</f>
        <v>364.47</v>
      </c>
      <c r="H129" s="3"/>
      <c r="I129" s="24"/>
      <c r="J129" s="25">
        <f>H129</f>
        <v>0</v>
      </c>
      <c r="K129" s="25">
        <f>G129*H129</f>
        <v>0</v>
      </c>
      <c r="L129" s="25"/>
      <c r="M129" s="26">
        <f>K129</f>
        <v>0</v>
      </c>
      <c r="N129" s="68"/>
      <c r="O129" s="356"/>
      <c r="P129" s="68"/>
    </row>
    <row r="130" spans="1:16" s="68" customFormat="1" ht="25.5" x14ac:dyDescent="0.25">
      <c r="A130" s="42">
        <f t="shared" si="10"/>
        <v>120</v>
      </c>
      <c r="B130" s="15"/>
      <c r="C130" s="314" t="s">
        <v>104</v>
      </c>
      <c r="D130" s="315" t="s">
        <v>25</v>
      </c>
      <c r="E130" s="316" t="s">
        <v>14</v>
      </c>
      <c r="F130" s="317">
        <v>0.3</v>
      </c>
      <c r="G130" s="318">
        <f>89.33*0.2*12*F130</f>
        <v>64.319999999999993</v>
      </c>
      <c r="H130" s="3"/>
      <c r="I130" s="69"/>
      <c r="J130" s="25">
        <f>H130</f>
        <v>0</v>
      </c>
      <c r="K130" s="25">
        <f>G130*H130</f>
        <v>0</v>
      </c>
      <c r="L130" s="25"/>
      <c r="M130" s="26">
        <f>K130</f>
        <v>0</v>
      </c>
      <c r="N130" s="71"/>
      <c r="O130" s="390"/>
      <c r="P130" s="71"/>
    </row>
    <row r="131" spans="1:16" s="44" customFormat="1" ht="25.5" customHeight="1" x14ac:dyDescent="0.25">
      <c r="A131" s="305">
        <f>ROW()-10</f>
        <v>121</v>
      </c>
      <c r="B131" s="306" t="s">
        <v>113</v>
      </c>
      <c r="C131" s="307" t="s">
        <v>112</v>
      </c>
      <c r="D131" s="36"/>
      <c r="E131" s="308"/>
      <c r="F131" s="309"/>
      <c r="G131" s="310"/>
      <c r="H131" s="39"/>
      <c r="I131" s="37"/>
      <c r="J131" s="28"/>
      <c r="K131" s="28"/>
      <c r="L131" s="28"/>
      <c r="M131" s="40"/>
      <c r="N131" s="27"/>
      <c r="O131" s="357"/>
      <c r="P131" s="27"/>
    </row>
    <row r="132" spans="1:16" s="27" customFormat="1" ht="12.75" x14ac:dyDescent="0.25">
      <c r="A132" s="43">
        <f t="shared" ref="A132:A143" si="11">ROW()-10</f>
        <v>122</v>
      </c>
      <c r="B132" s="14" t="s">
        <v>113</v>
      </c>
      <c r="C132" s="8" t="s">
        <v>16</v>
      </c>
      <c r="D132" s="5" t="s">
        <v>22</v>
      </c>
      <c r="E132" s="6" t="s">
        <v>8</v>
      </c>
      <c r="F132" s="7">
        <v>1</v>
      </c>
      <c r="G132" s="18">
        <f>57.1*12</f>
        <v>685.2</v>
      </c>
      <c r="H132" s="2"/>
      <c r="I132" s="4"/>
      <c r="J132" s="21">
        <f>I132</f>
        <v>0</v>
      </c>
      <c r="K132" s="21"/>
      <c r="L132" s="21">
        <f>G132*I132</f>
        <v>0</v>
      </c>
      <c r="M132" s="22">
        <f>L132</f>
        <v>0</v>
      </c>
      <c r="O132" s="357"/>
    </row>
    <row r="133" spans="1:16" s="27" customFormat="1" ht="25.5" x14ac:dyDescent="0.25">
      <c r="A133" s="41">
        <f t="shared" si="11"/>
        <v>123</v>
      </c>
      <c r="B133" s="38" t="s">
        <v>59</v>
      </c>
      <c r="C133" s="314" t="s">
        <v>58</v>
      </c>
      <c r="D133" s="315" t="s">
        <v>25</v>
      </c>
      <c r="E133" s="316" t="s">
        <v>8</v>
      </c>
      <c r="F133" s="317">
        <v>1.07</v>
      </c>
      <c r="G133" s="9">
        <f>G132*F133</f>
        <v>733.16</v>
      </c>
      <c r="H133" s="3"/>
      <c r="I133" s="24"/>
      <c r="J133" s="25">
        <f>H133</f>
        <v>0</v>
      </c>
      <c r="K133" s="25">
        <f>G133*H133</f>
        <v>0</v>
      </c>
      <c r="L133" s="25"/>
      <c r="M133" s="26">
        <f>K133</f>
        <v>0</v>
      </c>
      <c r="O133" s="357"/>
    </row>
    <row r="134" spans="1:16" s="27" customFormat="1" ht="25.5" x14ac:dyDescent="0.25">
      <c r="A134" s="42">
        <f t="shared" si="11"/>
        <v>124</v>
      </c>
      <c r="B134" s="15"/>
      <c r="C134" s="314" t="s">
        <v>9</v>
      </c>
      <c r="D134" s="315" t="s">
        <v>25</v>
      </c>
      <c r="E134" s="316" t="s">
        <v>10</v>
      </c>
      <c r="F134" s="317">
        <v>12</v>
      </c>
      <c r="G134" s="9">
        <f>G132*F134</f>
        <v>8222.4</v>
      </c>
      <c r="H134" s="3"/>
      <c r="I134" s="24"/>
      <c r="J134" s="25">
        <f>H134</f>
        <v>0</v>
      </c>
      <c r="K134" s="25">
        <f>G134*H134</f>
        <v>0</v>
      </c>
      <c r="L134" s="25"/>
      <c r="M134" s="26">
        <f>K134</f>
        <v>0</v>
      </c>
      <c r="O134" s="357"/>
    </row>
    <row r="135" spans="1:16" s="27" customFormat="1" ht="25.5" x14ac:dyDescent="0.25">
      <c r="A135" s="42">
        <f t="shared" si="11"/>
        <v>125</v>
      </c>
      <c r="B135" s="15"/>
      <c r="C135" s="314" t="s">
        <v>11</v>
      </c>
      <c r="D135" s="315" t="s">
        <v>25</v>
      </c>
      <c r="E135" s="316" t="s">
        <v>10</v>
      </c>
      <c r="F135" s="317">
        <v>0.25</v>
      </c>
      <c r="G135" s="9">
        <f>G132*F135</f>
        <v>171.3</v>
      </c>
      <c r="H135" s="3"/>
      <c r="I135" s="24"/>
      <c r="J135" s="25">
        <f>H135</f>
        <v>0</v>
      </c>
      <c r="K135" s="25">
        <f>G135*H135</f>
        <v>0</v>
      </c>
      <c r="L135" s="25"/>
      <c r="M135" s="26">
        <f>K135</f>
        <v>0</v>
      </c>
      <c r="O135" s="357"/>
    </row>
    <row r="136" spans="1:16" s="27" customFormat="1" ht="12.75" x14ac:dyDescent="0.25">
      <c r="A136" s="43">
        <f t="shared" ref="A136:A146" si="12">ROW()-10</f>
        <v>126</v>
      </c>
      <c r="B136" s="14" t="s">
        <v>113</v>
      </c>
      <c r="C136" s="8" t="s">
        <v>62</v>
      </c>
      <c r="D136" s="5" t="s">
        <v>22</v>
      </c>
      <c r="E136" s="6" t="s">
        <v>8</v>
      </c>
      <c r="F136" s="7">
        <v>1</v>
      </c>
      <c r="G136" s="18">
        <f>8.2*12</f>
        <v>98.4</v>
      </c>
      <c r="H136" s="2"/>
      <c r="I136" s="4"/>
      <c r="J136" s="21">
        <f>I136</f>
        <v>0</v>
      </c>
      <c r="K136" s="21"/>
      <c r="L136" s="21">
        <f>G136*I136</f>
        <v>0</v>
      </c>
      <c r="M136" s="22">
        <f>L136</f>
        <v>0</v>
      </c>
      <c r="O136" s="357"/>
    </row>
    <row r="137" spans="1:16" s="27" customFormat="1" ht="25.5" x14ac:dyDescent="0.25">
      <c r="A137" s="41">
        <f t="shared" si="12"/>
        <v>127</v>
      </c>
      <c r="B137" s="38" t="s">
        <v>64</v>
      </c>
      <c r="C137" s="314" t="s">
        <v>67</v>
      </c>
      <c r="D137" s="315" t="s">
        <v>25</v>
      </c>
      <c r="E137" s="316" t="s">
        <v>8</v>
      </c>
      <c r="F137" s="317">
        <v>1.07</v>
      </c>
      <c r="G137" s="9">
        <f>G136*F137</f>
        <v>105.29</v>
      </c>
      <c r="H137" s="3"/>
      <c r="I137" s="24"/>
      <c r="J137" s="25">
        <f>H137</f>
        <v>0</v>
      </c>
      <c r="K137" s="25">
        <f>G137*H137</f>
        <v>0</v>
      </c>
      <c r="L137" s="25"/>
      <c r="M137" s="26">
        <f>K137</f>
        <v>0</v>
      </c>
      <c r="O137" s="357"/>
    </row>
    <row r="138" spans="1:16" s="27" customFormat="1" ht="25.5" x14ac:dyDescent="0.25">
      <c r="A138" s="42">
        <f t="shared" si="12"/>
        <v>128</v>
      </c>
      <c r="B138" s="15"/>
      <c r="C138" s="314" t="s">
        <v>9</v>
      </c>
      <c r="D138" s="315" t="s">
        <v>25</v>
      </c>
      <c r="E138" s="316" t="s">
        <v>10</v>
      </c>
      <c r="F138" s="317">
        <v>12</v>
      </c>
      <c r="G138" s="9">
        <f>G136*F138</f>
        <v>1180.8</v>
      </c>
      <c r="H138" s="3"/>
      <c r="I138" s="24"/>
      <c r="J138" s="25">
        <f>H138</f>
        <v>0</v>
      </c>
      <c r="K138" s="25">
        <f>G138*H138</f>
        <v>0</v>
      </c>
      <c r="L138" s="25"/>
      <c r="M138" s="26">
        <f>K138</f>
        <v>0</v>
      </c>
      <c r="O138" s="357"/>
    </row>
    <row r="139" spans="1:16" s="27" customFormat="1" ht="25.5" x14ac:dyDescent="0.25">
      <c r="A139" s="42">
        <f t="shared" si="12"/>
        <v>129</v>
      </c>
      <c r="B139" s="15"/>
      <c r="C139" s="314" t="s">
        <v>11</v>
      </c>
      <c r="D139" s="315" t="s">
        <v>25</v>
      </c>
      <c r="E139" s="316" t="s">
        <v>10</v>
      </c>
      <c r="F139" s="317">
        <v>0.25</v>
      </c>
      <c r="G139" s="9">
        <f>G136*F139</f>
        <v>24.6</v>
      </c>
      <c r="H139" s="3"/>
      <c r="I139" s="24"/>
      <c r="J139" s="25">
        <f>H139</f>
        <v>0</v>
      </c>
      <c r="K139" s="25">
        <f>G139*H139</f>
        <v>0</v>
      </c>
      <c r="L139" s="25"/>
      <c r="M139" s="26">
        <f>K139</f>
        <v>0</v>
      </c>
      <c r="O139" s="357"/>
    </row>
    <row r="140" spans="1:16" s="27" customFormat="1" ht="25.5" x14ac:dyDescent="0.25">
      <c r="A140" s="43">
        <f t="shared" si="11"/>
        <v>130</v>
      </c>
      <c r="B140" s="14" t="s">
        <v>113</v>
      </c>
      <c r="C140" s="8" t="s">
        <v>17</v>
      </c>
      <c r="D140" s="5" t="s">
        <v>22</v>
      </c>
      <c r="E140" s="6" t="s">
        <v>12</v>
      </c>
      <c r="F140" s="7">
        <v>1</v>
      </c>
      <c r="G140" s="18">
        <f>51.3*12+10.3*12</f>
        <v>739.2</v>
      </c>
      <c r="H140" s="2"/>
      <c r="I140" s="4"/>
      <c r="J140" s="21">
        <f>I140</f>
        <v>0</v>
      </c>
      <c r="K140" s="21"/>
      <c r="L140" s="21">
        <f>G140*I140</f>
        <v>0</v>
      </c>
      <c r="M140" s="22">
        <f>L140</f>
        <v>0</v>
      </c>
      <c r="O140" s="357"/>
    </row>
    <row r="141" spans="1:16" s="27" customFormat="1" ht="25.5" x14ac:dyDescent="0.25">
      <c r="A141" s="42">
        <f t="shared" si="11"/>
        <v>131</v>
      </c>
      <c r="B141" s="15" t="s">
        <v>65</v>
      </c>
      <c r="C141" s="314" t="s">
        <v>66</v>
      </c>
      <c r="D141" s="315" t="s">
        <v>25</v>
      </c>
      <c r="E141" s="316" t="s">
        <v>8</v>
      </c>
      <c r="F141" s="317">
        <v>1.07</v>
      </c>
      <c r="G141" s="9">
        <f>G140*0.1*F141</f>
        <v>79.09</v>
      </c>
      <c r="H141" s="3"/>
      <c r="I141" s="24"/>
      <c r="J141" s="25">
        <f>H141</f>
        <v>0</v>
      </c>
      <c r="K141" s="25">
        <f>G141*H141</f>
        <v>0</v>
      </c>
      <c r="L141" s="25"/>
      <c r="M141" s="26">
        <f>K141</f>
        <v>0</v>
      </c>
      <c r="O141" s="357"/>
    </row>
    <row r="142" spans="1:16" s="27" customFormat="1" ht="25.5" x14ac:dyDescent="0.25">
      <c r="A142" s="42">
        <f t="shared" si="11"/>
        <v>132</v>
      </c>
      <c r="B142" s="15"/>
      <c r="C142" s="314" t="s">
        <v>9</v>
      </c>
      <c r="D142" s="315" t="s">
        <v>25</v>
      </c>
      <c r="E142" s="316" t="s">
        <v>10</v>
      </c>
      <c r="F142" s="317">
        <v>12</v>
      </c>
      <c r="G142" s="9">
        <f>G140*0.1*F142</f>
        <v>887.04</v>
      </c>
      <c r="H142" s="3"/>
      <c r="I142" s="24"/>
      <c r="J142" s="25">
        <f>H142</f>
        <v>0</v>
      </c>
      <c r="K142" s="25">
        <f>G142*H142</f>
        <v>0</v>
      </c>
      <c r="L142" s="25"/>
      <c r="M142" s="26">
        <f>K142</f>
        <v>0</v>
      </c>
      <c r="O142" s="357"/>
    </row>
    <row r="143" spans="1:16" s="27" customFormat="1" ht="25.5" x14ac:dyDescent="0.25">
      <c r="A143" s="42">
        <f t="shared" si="11"/>
        <v>133</v>
      </c>
      <c r="B143" s="15"/>
      <c r="C143" s="314" t="s">
        <v>11</v>
      </c>
      <c r="D143" s="315" t="s">
        <v>25</v>
      </c>
      <c r="E143" s="316" t="s">
        <v>10</v>
      </c>
      <c r="F143" s="317">
        <v>0.25</v>
      </c>
      <c r="G143" s="9">
        <f>G140*0.1*F143</f>
        <v>18.48</v>
      </c>
      <c r="H143" s="3"/>
      <c r="I143" s="24"/>
      <c r="J143" s="25">
        <f>H143</f>
        <v>0</v>
      </c>
      <c r="K143" s="25">
        <f>G143*H143</f>
        <v>0</v>
      </c>
      <c r="L143" s="25"/>
      <c r="M143" s="26">
        <f>K143</f>
        <v>0</v>
      </c>
      <c r="O143" s="357"/>
    </row>
    <row r="144" spans="1:16" s="27" customFormat="1" ht="12.75" x14ac:dyDescent="0.25">
      <c r="A144" s="43">
        <f t="shared" si="12"/>
        <v>134</v>
      </c>
      <c r="B144" s="14" t="s">
        <v>113</v>
      </c>
      <c r="C144" s="8" t="s">
        <v>76</v>
      </c>
      <c r="D144" s="5" t="s">
        <v>22</v>
      </c>
      <c r="E144" s="6" t="s">
        <v>12</v>
      </c>
      <c r="F144" s="7">
        <v>1</v>
      </c>
      <c r="G144" s="18">
        <f>6.9*12</f>
        <v>82.8</v>
      </c>
      <c r="H144" s="2"/>
      <c r="I144" s="4"/>
      <c r="J144" s="21">
        <f>I144</f>
        <v>0</v>
      </c>
      <c r="K144" s="21"/>
      <c r="L144" s="21">
        <f>G144*I144</f>
        <v>0</v>
      </c>
      <c r="M144" s="22">
        <f>L144</f>
        <v>0</v>
      </c>
      <c r="O144" s="357"/>
    </row>
    <row r="145" spans="1:16" s="27" customFormat="1" ht="25.5" x14ac:dyDescent="0.25">
      <c r="A145" s="42">
        <f t="shared" si="12"/>
        <v>135</v>
      </c>
      <c r="B145" s="15"/>
      <c r="C145" s="314" t="s">
        <v>130</v>
      </c>
      <c r="D145" s="315" t="s">
        <v>25</v>
      </c>
      <c r="E145" s="316" t="s">
        <v>14</v>
      </c>
      <c r="F145" s="317">
        <v>0.3</v>
      </c>
      <c r="G145" s="9">
        <f>G144*0.1*F145</f>
        <v>2.48</v>
      </c>
      <c r="H145" s="3"/>
      <c r="I145" s="24"/>
      <c r="J145" s="25">
        <f>H145</f>
        <v>0</v>
      </c>
      <c r="K145" s="25">
        <f>G145*H145</f>
        <v>0</v>
      </c>
      <c r="L145" s="25"/>
      <c r="M145" s="26">
        <f>K145</f>
        <v>0</v>
      </c>
      <c r="O145" s="357"/>
    </row>
    <row r="146" spans="1:16" s="27" customFormat="1" ht="25.5" x14ac:dyDescent="0.25">
      <c r="A146" s="42">
        <f t="shared" si="12"/>
        <v>136</v>
      </c>
      <c r="B146" s="15"/>
      <c r="C146" s="314" t="s">
        <v>13</v>
      </c>
      <c r="D146" s="315" t="s">
        <v>25</v>
      </c>
      <c r="E146" s="316" t="s">
        <v>14</v>
      </c>
      <c r="F146" s="317">
        <v>0.1</v>
      </c>
      <c r="G146" s="9">
        <f>G144*0.1*F146</f>
        <v>0.83</v>
      </c>
      <c r="H146" s="3"/>
      <c r="I146" s="24"/>
      <c r="J146" s="25">
        <f>H146</f>
        <v>0</v>
      </c>
      <c r="K146" s="25">
        <f>G146*H146</f>
        <v>0</v>
      </c>
      <c r="L146" s="25"/>
      <c r="M146" s="26">
        <f>K146</f>
        <v>0</v>
      </c>
      <c r="N146" s="68"/>
      <c r="O146" s="356"/>
      <c r="P146" s="68"/>
    </row>
    <row r="147" spans="1:16" s="23" customFormat="1" ht="12.75" x14ac:dyDescent="0.25">
      <c r="A147" s="297">
        <f>ROW()-10</f>
        <v>137</v>
      </c>
      <c r="B147" s="298" t="s">
        <v>84</v>
      </c>
      <c r="C147" s="299" t="s">
        <v>129</v>
      </c>
      <c r="D147" s="48"/>
      <c r="E147" s="300"/>
      <c r="F147" s="301"/>
      <c r="G147" s="302"/>
      <c r="H147" s="49"/>
      <c r="I147" s="50"/>
      <c r="J147" s="51"/>
      <c r="K147" s="51"/>
      <c r="L147" s="51"/>
      <c r="M147" s="52"/>
      <c r="N147" s="44"/>
      <c r="O147" s="355"/>
      <c r="P147" s="44"/>
    </row>
    <row r="148" spans="1:16" s="44" customFormat="1" ht="25.5" customHeight="1" x14ac:dyDescent="0.25">
      <c r="A148" s="305">
        <f>ROW()-10</f>
        <v>138</v>
      </c>
      <c r="B148" s="306" t="s">
        <v>87</v>
      </c>
      <c r="C148" s="307" t="s">
        <v>88</v>
      </c>
      <c r="D148" s="36"/>
      <c r="E148" s="308"/>
      <c r="F148" s="309"/>
      <c r="G148" s="310"/>
      <c r="H148" s="39"/>
      <c r="I148" s="37"/>
      <c r="J148" s="28"/>
      <c r="K148" s="28"/>
      <c r="L148" s="28"/>
      <c r="M148" s="40"/>
      <c r="N148" s="23"/>
      <c r="O148" s="354"/>
      <c r="P148" s="23"/>
    </row>
    <row r="149" spans="1:16" s="23" customFormat="1" ht="12.75" x14ac:dyDescent="0.25">
      <c r="A149" s="319">
        <f t="shared" ref="A149:A158" si="13">ROW()-10</f>
        <v>139</v>
      </c>
      <c r="B149" s="320" t="s">
        <v>96</v>
      </c>
      <c r="C149" s="321" t="s">
        <v>97</v>
      </c>
      <c r="D149" s="322" t="s">
        <v>22</v>
      </c>
      <c r="E149" s="323" t="s">
        <v>8</v>
      </c>
      <c r="F149" s="143">
        <v>1</v>
      </c>
      <c r="G149" s="313">
        <v>55.7</v>
      </c>
      <c r="H149" s="2"/>
      <c r="I149" s="4"/>
      <c r="J149" s="21">
        <f>I149</f>
        <v>0</v>
      </c>
      <c r="K149" s="21"/>
      <c r="L149" s="21">
        <f>G149*I149</f>
        <v>0</v>
      </c>
      <c r="M149" s="22">
        <f>L149</f>
        <v>0</v>
      </c>
      <c r="O149" s="354"/>
    </row>
    <row r="150" spans="1:16" s="68" customFormat="1" ht="25.5" x14ac:dyDescent="0.25">
      <c r="A150" s="324">
        <f t="shared" si="13"/>
        <v>140</v>
      </c>
      <c r="B150" s="325"/>
      <c r="C150" s="314" t="s">
        <v>120</v>
      </c>
      <c r="D150" s="315" t="s">
        <v>25</v>
      </c>
      <c r="E150" s="316" t="s">
        <v>12</v>
      </c>
      <c r="F150" s="317">
        <v>1.1000000000000001</v>
      </c>
      <c r="G150" s="318">
        <f>G149*11*F150</f>
        <v>673.97</v>
      </c>
      <c r="H150" s="3"/>
      <c r="I150" s="24"/>
      <c r="J150" s="25">
        <f>H150</f>
        <v>0</v>
      </c>
      <c r="K150" s="25">
        <f>G150*H150</f>
        <v>0</v>
      </c>
      <c r="L150" s="25"/>
      <c r="M150" s="26">
        <f>K150</f>
        <v>0</v>
      </c>
      <c r="O150" s="356"/>
    </row>
    <row r="151" spans="1:16" s="23" customFormat="1" ht="12.75" x14ac:dyDescent="0.25">
      <c r="A151" s="43">
        <f t="shared" si="13"/>
        <v>141</v>
      </c>
      <c r="B151" s="14" t="s">
        <v>99</v>
      </c>
      <c r="C151" s="55" t="s">
        <v>100</v>
      </c>
      <c r="D151" s="5" t="s">
        <v>22</v>
      </c>
      <c r="E151" s="6" t="s">
        <v>8</v>
      </c>
      <c r="F151" s="7">
        <v>1</v>
      </c>
      <c r="G151" s="313">
        <v>15.4</v>
      </c>
      <c r="H151" s="2"/>
      <c r="I151" s="4"/>
      <c r="J151" s="21">
        <f>I151</f>
        <v>0</v>
      </c>
      <c r="K151" s="21"/>
      <c r="L151" s="21">
        <f>G151*I151</f>
        <v>0</v>
      </c>
      <c r="M151" s="22">
        <f>L151</f>
        <v>0</v>
      </c>
      <c r="O151" s="354"/>
    </row>
    <row r="152" spans="1:16" s="68" customFormat="1" ht="25.5" x14ac:dyDescent="0.25">
      <c r="A152" s="42">
        <f t="shared" si="13"/>
        <v>142</v>
      </c>
      <c r="B152" s="15"/>
      <c r="C152" s="326" t="s">
        <v>13</v>
      </c>
      <c r="D152" s="315" t="s">
        <v>25</v>
      </c>
      <c r="E152" s="316" t="s">
        <v>14</v>
      </c>
      <c r="F152" s="317">
        <v>0.1</v>
      </c>
      <c r="G152" s="318">
        <f>G151*F152</f>
        <v>1.54</v>
      </c>
      <c r="H152" s="3"/>
      <c r="I152" s="24"/>
      <c r="J152" s="25">
        <f>H152</f>
        <v>0</v>
      </c>
      <c r="K152" s="25">
        <f>G152*H152</f>
        <v>0</v>
      </c>
      <c r="L152" s="25"/>
      <c r="M152" s="26">
        <f>K152</f>
        <v>0</v>
      </c>
      <c r="O152" s="356"/>
    </row>
    <row r="153" spans="1:16" s="68" customFormat="1" ht="25.5" x14ac:dyDescent="0.25">
      <c r="A153" s="42">
        <f t="shared" si="13"/>
        <v>143</v>
      </c>
      <c r="B153" s="15"/>
      <c r="C153" s="326" t="s">
        <v>101</v>
      </c>
      <c r="D153" s="315" t="s">
        <v>25</v>
      </c>
      <c r="E153" s="316" t="s">
        <v>10</v>
      </c>
      <c r="F153" s="317">
        <v>1.2</v>
      </c>
      <c r="G153" s="318">
        <f>G151*F153</f>
        <v>18.48</v>
      </c>
      <c r="H153" s="3"/>
      <c r="I153" s="24"/>
      <c r="J153" s="25">
        <f>H153</f>
        <v>0</v>
      </c>
      <c r="K153" s="25">
        <f>G153*H153</f>
        <v>0</v>
      </c>
      <c r="L153" s="25"/>
      <c r="M153" s="26">
        <f>K153</f>
        <v>0</v>
      </c>
      <c r="O153" s="356"/>
    </row>
    <row r="154" spans="1:16" s="68" customFormat="1" ht="25.5" x14ac:dyDescent="0.25">
      <c r="A154" s="42">
        <f t="shared" si="13"/>
        <v>144</v>
      </c>
      <c r="B154" s="15"/>
      <c r="C154" s="314" t="s">
        <v>23</v>
      </c>
      <c r="D154" s="315" t="s">
        <v>25</v>
      </c>
      <c r="E154" s="316" t="s">
        <v>10</v>
      </c>
      <c r="F154" s="317">
        <v>1.7</v>
      </c>
      <c r="G154" s="318">
        <f>G151*F154</f>
        <v>26.18</v>
      </c>
      <c r="H154" s="3"/>
      <c r="I154" s="24"/>
      <c r="J154" s="25">
        <f>H154</f>
        <v>0</v>
      </c>
      <c r="K154" s="25">
        <f>G154*H154</f>
        <v>0</v>
      </c>
      <c r="L154" s="25"/>
      <c r="M154" s="26">
        <f>K154</f>
        <v>0</v>
      </c>
      <c r="O154" s="356"/>
    </row>
    <row r="155" spans="1:16" s="23" customFormat="1" ht="38.25" x14ac:dyDescent="0.25">
      <c r="A155" s="43">
        <f t="shared" si="13"/>
        <v>145</v>
      </c>
      <c r="B155" s="14" t="s">
        <v>102</v>
      </c>
      <c r="C155" s="8" t="s">
        <v>103</v>
      </c>
      <c r="D155" s="5" t="s">
        <v>22</v>
      </c>
      <c r="E155" s="6" t="s">
        <v>8</v>
      </c>
      <c r="F155" s="7">
        <v>1</v>
      </c>
      <c r="G155" s="313">
        <f>G149+G151</f>
        <v>71.099999999999994</v>
      </c>
      <c r="H155" s="2"/>
      <c r="I155" s="4"/>
      <c r="J155" s="21">
        <f>I155</f>
        <v>0</v>
      </c>
      <c r="K155" s="21"/>
      <c r="L155" s="21">
        <f>G155*I155</f>
        <v>0</v>
      </c>
      <c r="M155" s="22">
        <f>L155</f>
        <v>0</v>
      </c>
      <c r="O155" s="354"/>
    </row>
    <row r="156" spans="1:16" s="68" customFormat="1" ht="25.5" x14ac:dyDescent="0.25">
      <c r="A156" s="42">
        <f t="shared" si="13"/>
        <v>146</v>
      </c>
      <c r="B156" s="15"/>
      <c r="C156" s="314" t="s">
        <v>13</v>
      </c>
      <c r="D156" s="315" t="s">
        <v>25</v>
      </c>
      <c r="E156" s="316" t="s">
        <v>14</v>
      </c>
      <c r="F156" s="317">
        <v>0.1</v>
      </c>
      <c r="G156" s="318">
        <f>G155*F156</f>
        <v>7.11</v>
      </c>
      <c r="H156" s="3"/>
      <c r="I156" s="24"/>
      <c r="J156" s="25">
        <f>H156</f>
        <v>0</v>
      </c>
      <c r="K156" s="25">
        <f>G156*H156</f>
        <v>0</v>
      </c>
      <c r="L156" s="25"/>
      <c r="M156" s="26">
        <f>K156</f>
        <v>0</v>
      </c>
      <c r="N156" s="70"/>
      <c r="O156" s="358"/>
      <c r="P156" s="70"/>
    </row>
    <row r="157" spans="1:16" s="70" customFormat="1" ht="25.5" x14ac:dyDescent="0.25">
      <c r="A157" s="42">
        <f t="shared" si="13"/>
        <v>147</v>
      </c>
      <c r="B157" s="38"/>
      <c r="C157" s="314" t="s">
        <v>118</v>
      </c>
      <c r="D157" s="315" t="s">
        <v>25</v>
      </c>
      <c r="E157" s="316" t="s">
        <v>14</v>
      </c>
      <c r="F157" s="317">
        <v>0.3</v>
      </c>
      <c r="G157" s="318">
        <f>15.4*F157</f>
        <v>4.62</v>
      </c>
      <c r="H157" s="3"/>
      <c r="I157" s="24"/>
      <c r="J157" s="25">
        <f>H157</f>
        <v>0</v>
      </c>
      <c r="K157" s="25">
        <f>G157*H157</f>
        <v>0</v>
      </c>
      <c r="L157" s="25"/>
      <c r="M157" s="26">
        <f>K157</f>
        <v>0</v>
      </c>
      <c r="O157" s="358"/>
    </row>
    <row r="158" spans="1:16" s="70" customFormat="1" ht="51" x14ac:dyDescent="0.25">
      <c r="A158" s="42">
        <f t="shared" si="13"/>
        <v>148</v>
      </c>
      <c r="B158" s="38" t="s">
        <v>121</v>
      </c>
      <c r="C158" s="314" t="s">
        <v>106</v>
      </c>
      <c r="D158" s="315" t="s">
        <v>25</v>
      </c>
      <c r="E158" s="316" t="s">
        <v>14</v>
      </c>
      <c r="F158" s="317">
        <v>0.3</v>
      </c>
      <c r="G158" s="318">
        <f>(55.7+79.52*0.2)*F158</f>
        <v>21.48</v>
      </c>
      <c r="H158" s="3"/>
      <c r="I158" s="24"/>
      <c r="J158" s="25">
        <f>H158</f>
        <v>0</v>
      </c>
      <c r="K158" s="25">
        <f>G158*H158</f>
        <v>0</v>
      </c>
      <c r="L158" s="25"/>
      <c r="M158" s="26">
        <f>K158</f>
        <v>0</v>
      </c>
      <c r="N158" s="71"/>
      <c r="O158" s="390"/>
      <c r="P158" s="71"/>
    </row>
    <row r="159" spans="1:16" s="44" customFormat="1" ht="25.5" customHeight="1" x14ac:dyDescent="0.25">
      <c r="A159" s="256">
        <f>ROW()-10</f>
        <v>149</v>
      </c>
      <c r="B159" s="306" t="s">
        <v>110</v>
      </c>
      <c r="C159" s="307" t="s">
        <v>109</v>
      </c>
      <c r="D159" s="36"/>
      <c r="E159" s="308"/>
      <c r="F159" s="309"/>
      <c r="G159" s="310"/>
      <c r="H159" s="39"/>
      <c r="I159" s="37"/>
      <c r="J159" s="28"/>
      <c r="K159" s="28"/>
      <c r="L159" s="28"/>
      <c r="M159" s="40"/>
      <c r="N159" s="27"/>
      <c r="O159" s="357"/>
      <c r="P159" s="27"/>
    </row>
    <row r="160" spans="1:16" s="27" customFormat="1" ht="12.75" x14ac:dyDescent="0.25">
      <c r="A160" s="43">
        <f t="shared" ref="A160:A179" si="14">ROW()-10</f>
        <v>150</v>
      </c>
      <c r="B160" s="14" t="s">
        <v>110</v>
      </c>
      <c r="C160" s="55" t="s">
        <v>21</v>
      </c>
      <c r="D160" s="5" t="s">
        <v>22</v>
      </c>
      <c r="E160" s="6" t="s">
        <v>8</v>
      </c>
      <c r="F160" s="7">
        <v>1</v>
      </c>
      <c r="G160" s="18">
        <f>176.21</f>
        <v>176.21</v>
      </c>
      <c r="H160" s="2"/>
      <c r="I160" s="4"/>
      <c r="J160" s="21">
        <f>I160</f>
        <v>0</v>
      </c>
      <c r="K160" s="21"/>
      <c r="L160" s="21">
        <f>G160*I160</f>
        <v>0</v>
      </c>
      <c r="M160" s="22">
        <f>L160</f>
        <v>0</v>
      </c>
      <c r="O160" s="357"/>
    </row>
    <row r="161" spans="1:16" s="27" customFormat="1" ht="25.5" x14ac:dyDescent="0.25">
      <c r="A161" s="42">
        <f t="shared" si="14"/>
        <v>151</v>
      </c>
      <c r="B161" s="15"/>
      <c r="C161" s="326" t="s">
        <v>13</v>
      </c>
      <c r="D161" s="315" t="s">
        <v>25</v>
      </c>
      <c r="E161" s="316" t="s">
        <v>14</v>
      </c>
      <c r="F161" s="317">
        <v>0.1</v>
      </c>
      <c r="G161" s="9">
        <f>G160*F161</f>
        <v>17.62</v>
      </c>
      <c r="H161" s="3"/>
      <c r="I161" s="24"/>
      <c r="J161" s="25">
        <f>H161</f>
        <v>0</v>
      </c>
      <c r="K161" s="25">
        <f>G161*H161</f>
        <v>0</v>
      </c>
      <c r="L161" s="25"/>
      <c r="M161" s="26">
        <f>K161</f>
        <v>0</v>
      </c>
      <c r="O161" s="357"/>
    </row>
    <row r="162" spans="1:16" s="27" customFormat="1" ht="25.5" x14ac:dyDescent="0.25">
      <c r="A162" s="42">
        <f t="shared" si="14"/>
        <v>152</v>
      </c>
      <c r="B162" s="15"/>
      <c r="C162" s="326" t="s">
        <v>52</v>
      </c>
      <c r="D162" s="315" t="s">
        <v>25</v>
      </c>
      <c r="E162" s="316" t="s">
        <v>10</v>
      </c>
      <c r="F162" s="317">
        <v>1.2</v>
      </c>
      <c r="G162" s="9">
        <f>G160*F162</f>
        <v>211.45</v>
      </c>
      <c r="H162" s="3"/>
      <c r="I162" s="53"/>
      <c r="J162" s="25">
        <f>H162</f>
        <v>0</v>
      </c>
      <c r="K162" s="25">
        <f>G162*H162</f>
        <v>0</v>
      </c>
      <c r="L162" s="25"/>
      <c r="M162" s="26">
        <f>K162</f>
        <v>0</v>
      </c>
      <c r="O162" s="357"/>
    </row>
    <row r="163" spans="1:16" s="27" customFormat="1" ht="25.5" x14ac:dyDescent="0.25">
      <c r="A163" s="42">
        <f t="shared" si="14"/>
        <v>153</v>
      </c>
      <c r="B163" s="15"/>
      <c r="C163" s="314" t="s">
        <v>23</v>
      </c>
      <c r="D163" s="315" t="s">
        <v>25</v>
      </c>
      <c r="E163" s="316" t="s">
        <v>10</v>
      </c>
      <c r="F163" s="317">
        <v>1.7</v>
      </c>
      <c r="G163" s="9">
        <f>G160*F163</f>
        <v>299.56</v>
      </c>
      <c r="H163" s="3"/>
      <c r="I163" s="24"/>
      <c r="J163" s="25">
        <f>H163</f>
        <v>0</v>
      </c>
      <c r="K163" s="25">
        <f>G163*H163</f>
        <v>0</v>
      </c>
      <c r="L163" s="25"/>
      <c r="M163" s="26">
        <f>K163</f>
        <v>0</v>
      </c>
      <c r="O163" s="357"/>
    </row>
    <row r="164" spans="1:16" s="27" customFormat="1" ht="45" customHeight="1" x14ac:dyDescent="0.25">
      <c r="A164" s="43">
        <f t="shared" si="14"/>
        <v>154</v>
      </c>
      <c r="B164" s="14" t="s">
        <v>110</v>
      </c>
      <c r="C164" s="54" t="s">
        <v>18</v>
      </c>
      <c r="D164" s="5" t="s">
        <v>22</v>
      </c>
      <c r="E164" s="6" t="s">
        <v>8</v>
      </c>
      <c r="F164" s="7">
        <v>1</v>
      </c>
      <c r="G164" s="18">
        <f>16.53</f>
        <v>16.53</v>
      </c>
      <c r="H164" s="2"/>
      <c r="I164" s="4"/>
      <c r="J164" s="21">
        <f>I164</f>
        <v>0</v>
      </c>
      <c r="K164" s="21"/>
      <c r="L164" s="21">
        <f>G164*I164</f>
        <v>0</v>
      </c>
      <c r="M164" s="22">
        <f>L164</f>
        <v>0</v>
      </c>
      <c r="N164" s="23"/>
      <c r="O164" s="354"/>
      <c r="P164" s="23"/>
    </row>
    <row r="165" spans="1:16" s="68" customFormat="1" ht="25.5" x14ac:dyDescent="0.25">
      <c r="A165" s="42">
        <f t="shared" si="14"/>
        <v>155</v>
      </c>
      <c r="B165" s="15"/>
      <c r="C165" s="314" t="s">
        <v>58</v>
      </c>
      <c r="D165" s="315" t="s">
        <v>25</v>
      </c>
      <c r="E165" s="316" t="s">
        <v>8</v>
      </c>
      <c r="F165" s="317">
        <v>1.07</v>
      </c>
      <c r="G165" s="318">
        <f>G164*F165</f>
        <v>17.690000000000001</v>
      </c>
      <c r="H165" s="3"/>
      <c r="I165" s="24"/>
      <c r="J165" s="25">
        <f>H165</f>
        <v>0</v>
      </c>
      <c r="K165" s="25">
        <f>G165*H165</f>
        <v>0</v>
      </c>
      <c r="L165" s="25"/>
      <c r="M165" s="26">
        <f>K165</f>
        <v>0</v>
      </c>
      <c r="O165" s="356"/>
    </row>
    <row r="166" spans="1:16" s="68" customFormat="1" ht="25.5" x14ac:dyDescent="0.25">
      <c r="A166" s="42">
        <f t="shared" si="14"/>
        <v>156</v>
      </c>
      <c r="B166" s="15"/>
      <c r="C166" s="314" t="s">
        <v>9</v>
      </c>
      <c r="D166" s="315" t="s">
        <v>25</v>
      </c>
      <c r="E166" s="316" t="s">
        <v>10</v>
      </c>
      <c r="F166" s="317">
        <v>12</v>
      </c>
      <c r="G166" s="318">
        <f>G164*0.3*F166</f>
        <v>59.51</v>
      </c>
      <c r="H166" s="3"/>
      <c r="I166" s="24"/>
      <c r="J166" s="25">
        <f>H166</f>
        <v>0</v>
      </c>
      <c r="K166" s="25">
        <f>G166*H166</f>
        <v>0</v>
      </c>
      <c r="L166" s="25"/>
      <c r="M166" s="26">
        <f>K166</f>
        <v>0</v>
      </c>
      <c r="O166" s="356"/>
    </row>
    <row r="167" spans="1:16" s="68" customFormat="1" ht="25.5" x14ac:dyDescent="0.25">
      <c r="A167" s="42">
        <f t="shared" si="14"/>
        <v>157</v>
      </c>
      <c r="B167" s="15"/>
      <c r="C167" s="314" t="s">
        <v>11</v>
      </c>
      <c r="D167" s="315" t="s">
        <v>25</v>
      </c>
      <c r="E167" s="316" t="s">
        <v>10</v>
      </c>
      <c r="F167" s="317">
        <v>0.25</v>
      </c>
      <c r="G167" s="318">
        <f>G164*0.3*F167</f>
        <v>1.24</v>
      </c>
      <c r="H167" s="3"/>
      <c r="I167" s="24"/>
      <c r="J167" s="25">
        <f>H167</f>
        <v>0</v>
      </c>
      <c r="K167" s="25">
        <f>G167*H167</f>
        <v>0</v>
      </c>
      <c r="L167" s="25"/>
      <c r="M167" s="26">
        <f>K167</f>
        <v>0</v>
      </c>
      <c r="O167" s="356"/>
    </row>
    <row r="168" spans="1:16" s="68" customFormat="1" ht="25.5" x14ac:dyDescent="0.25">
      <c r="A168" s="42">
        <f t="shared" si="14"/>
        <v>158</v>
      </c>
      <c r="B168" s="15"/>
      <c r="C168" s="314" t="s">
        <v>46</v>
      </c>
      <c r="D168" s="315" t="s">
        <v>25</v>
      </c>
      <c r="E168" s="316" t="s">
        <v>12</v>
      </c>
      <c r="F168" s="317">
        <v>1.1000000000000001</v>
      </c>
      <c r="G168" s="318">
        <f>8.21*F168</f>
        <v>9.0299999999999994</v>
      </c>
      <c r="H168" s="3"/>
      <c r="I168" s="24"/>
      <c r="J168" s="25">
        <f>H168</f>
        <v>0</v>
      </c>
      <c r="K168" s="25">
        <f>G168*H168</f>
        <v>0</v>
      </c>
      <c r="L168" s="25"/>
      <c r="M168" s="26">
        <f>K168</f>
        <v>0</v>
      </c>
      <c r="N168" s="27"/>
      <c r="O168" s="357"/>
      <c r="P168" s="27"/>
    </row>
    <row r="169" spans="1:16" s="27" customFormat="1" ht="12.75" x14ac:dyDescent="0.25">
      <c r="A169" s="43">
        <f t="shared" si="14"/>
        <v>159</v>
      </c>
      <c r="B169" s="14" t="s">
        <v>110</v>
      </c>
      <c r="C169" s="8" t="s">
        <v>19</v>
      </c>
      <c r="D169" s="5" t="s">
        <v>22</v>
      </c>
      <c r="E169" s="6" t="s">
        <v>8</v>
      </c>
      <c r="F169" s="7">
        <v>1</v>
      </c>
      <c r="G169" s="18">
        <f>G160</f>
        <v>176.21</v>
      </c>
      <c r="H169" s="2"/>
      <c r="I169" s="4"/>
      <c r="J169" s="21">
        <f>I169</f>
        <v>0</v>
      </c>
      <c r="K169" s="21"/>
      <c r="L169" s="21">
        <f>G169*I169</f>
        <v>0</v>
      </c>
      <c r="M169" s="22">
        <f>L169</f>
        <v>0</v>
      </c>
      <c r="N169" s="23"/>
      <c r="O169" s="354"/>
      <c r="P169" s="23"/>
    </row>
    <row r="170" spans="1:16" s="68" customFormat="1" ht="25.5" x14ac:dyDescent="0.25">
      <c r="A170" s="42">
        <f t="shared" si="14"/>
        <v>160</v>
      </c>
      <c r="B170" s="15"/>
      <c r="C170" s="314" t="s">
        <v>13</v>
      </c>
      <c r="D170" s="315" t="s">
        <v>25</v>
      </c>
      <c r="E170" s="316" t="s">
        <v>14</v>
      </c>
      <c r="F170" s="317">
        <v>0.1</v>
      </c>
      <c r="G170" s="318">
        <f>G169*F170</f>
        <v>17.62</v>
      </c>
      <c r="H170" s="3"/>
      <c r="I170" s="24"/>
      <c r="J170" s="25">
        <f>H170</f>
        <v>0</v>
      </c>
      <c r="K170" s="25">
        <f>G170*H170</f>
        <v>0</v>
      </c>
      <c r="L170" s="25"/>
      <c r="M170" s="26">
        <f>K170</f>
        <v>0</v>
      </c>
      <c r="O170" s="356"/>
    </row>
    <row r="171" spans="1:16" s="68" customFormat="1" ht="25.5" x14ac:dyDescent="0.25">
      <c r="A171" s="42">
        <f t="shared" si="14"/>
        <v>161</v>
      </c>
      <c r="B171" s="15"/>
      <c r="C171" s="314" t="s">
        <v>104</v>
      </c>
      <c r="D171" s="315" t="s">
        <v>25</v>
      </c>
      <c r="E171" s="316" t="s">
        <v>14</v>
      </c>
      <c r="F171" s="317">
        <v>0.3</v>
      </c>
      <c r="G171" s="318">
        <f>158.26*F171</f>
        <v>47.48</v>
      </c>
      <c r="H171" s="3"/>
      <c r="I171" s="24"/>
      <c r="J171" s="25">
        <f>H171</f>
        <v>0</v>
      </c>
      <c r="K171" s="25">
        <f>G171*H171</f>
        <v>0</v>
      </c>
      <c r="L171" s="25"/>
      <c r="M171" s="26">
        <f>K171</f>
        <v>0</v>
      </c>
      <c r="O171" s="356"/>
    </row>
    <row r="172" spans="1:16" s="68" customFormat="1" ht="25.5" x14ac:dyDescent="0.25">
      <c r="A172" s="42">
        <f t="shared" si="14"/>
        <v>162</v>
      </c>
      <c r="B172" s="15"/>
      <c r="C172" s="314" t="s">
        <v>105</v>
      </c>
      <c r="D172" s="315" t="s">
        <v>25</v>
      </c>
      <c r="E172" s="316" t="s">
        <v>14</v>
      </c>
      <c r="F172" s="317">
        <v>0.3</v>
      </c>
      <c r="G172" s="318">
        <f>13.1*F172</f>
        <v>3.93</v>
      </c>
      <c r="H172" s="3"/>
      <c r="I172" s="24"/>
      <c r="J172" s="25">
        <f>H172</f>
        <v>0</v>
      </c>
      <c r="K172" s="25">
        <f>G172*H172</f>
        <v>0</v>
      </c>
      <c r="L172" s="25"/>
      <c r="M172" s="26">
        <f>K172</f>
        <v>0</v>
      </c>
      <c r="O172" s="356"/>
    </row>
    <row r="173" spans="1:16" s="68" customFormat="1" ht="25.5" x14ac:dyDescent="0.25">
      <c r="A173" s="42">
        <f t="shared" si="14"/>
        <v>163</v>
      </c>
      <c r="B173" s="15"/>
      <c r="C173" s="314" t="s">
        <v>106</v>
      </c>
      <c r="D173" s="315" t="s">
        <v>25</v>
      </c>
      <c r="E173" s="316" t="s">
        <v>14</v>
      </c>
      <c r="F173" s="317">
        <v>0.3</v>
      </c>
      <c r="G173" s="318">
        <f>4.86*F173</f>
        <v>1.46</v>
      </c>
      <c r="H173" s="3"/>
      <c r="I173" s="24"/>
      <c r="J173" s="25">
        <f>H173</f>
        <v>0</v>
      </c>
      <c r="K173" s="25">
        <f>G173*H173</f>
        <v>0</v>
      </c>
      <c r="L173" s="25"/>
      <c r="M173" s="26">
        <f>K173</f>
        <v>0</v>
      </c>
      <c r="N173" s="27"/>
      <c r="O173" s="357"/>
      <c r="P173" s="27"/>
    </row>
    <row r="174" spans="1:16" s="27" customFormat="1" ht="21.75" customHeight="1" x14ac:dyDescent="0.25">
      <c r="A174" s="43">
        <f t="shared" si="14"/>
        <v>164</v>
      </c>
      <c r="B174" s="14" t="s">
        <v>110</v>
      </c>
      <c r="C174" s="8" t="s">
        <v>20</v>
      </c>
      <c r="D174" s="5" t="s">
        <v>22</v>
      </c>
      <c r="E174" s="6" t="s">
        <v>24</v>
      </c>
      <c r="F174" s="7">
        <v>1</v>
      </c>
      <c r="G174" s="18">
        <f>89.33</f>
        <v>89.33</v>
      </c>
      <c r="H174" s="2"/>
      <c r="I174" s="4"/>
      <c r="J174" s="21">
        <f>I174</f>
        <v>0</v>
      </c>
      <c r="K174" s="21"/>
      <c r="L174" s="21">
        <f>G174*I174</f>
        <v>0</v>
      </c>
      <c r="M174" s="22">
        <f>L174</f>
        <v>0</v>
      </c>
      <c r="O174" s="357"/>
    </row>
    <row r="175" spans="1:16" s="27" customFormat="1" ht="25.5" customHeight="1" x14ac:dyDescent="0.25">
      <c r="A175" s="42">
        <f t="shared" si="14"/>
        <v>165</v>
      </c>
      <c r="B175" s="15"/>
      <c r="C175" s="314" t="s">
        <v>32</v>
      </c>
      <c r="D175" s="315" t="s">
        <v>25</v>
      </c>
      <c r="E175" s="328" t="s">
        <v>10</v>
      </c>
      <c r="F175" s="329">
        <v>0.05</v>
      </c>
      <c r="G175" s="318">
        <f>G174*0.2*F175</f>
        <v>0.89</v>
      </c>
      <c r="H175" s="3"/>
      <c r="I175" s="24"/>
      <c r="J175" s="25">
        <f>H175</f>
        <v>0</v>
      </c>
      <c r="K175" s="25">
        <f>G175*H175</f>
        <v>0</v>
      </c>
      <c r="L175" s="25"/>
      <c r="M175" s="26">
        <f>K175</f>
        <v>0</v>
      </c>
      <c r="O175" s="357"/>
    </row>
    <row r="176" spans="1:16" s="27" customFormat="1" ht="25.5" x14ac:dyDescent="0.25">
      <c r="A176" s="42">
        <f t="shared" si="14"/>
        <v>166</v>
      </c>
      <c r="B176" s="15"/>
      <c r="C176" s="314" t="s">
        <v>33</v>
      </c>
      <c r="D176" s="315" t="s">
        <v>25</v>
      </c>
      <c r="E176" s="328" t="s">
        <v>10</v>
      </c>
      <c r="F176" s="329">
        <v>10</v>
      </c>
      <c r="G176" s="318">
        <f>G174*0.2*F176</f>
        <v>178.66</v>
      </c>
      <c r="H176" s="3"/>
      <c r="I176" s="24"/>
      <c r="J176" s="25">
        <f>H176</f>
        <v>0</v>
      </c>
      <c r="K176" s="25">
        <f>G176*H176</f>
        <v>0</v>
      </c>
      <c r="L176" s="25"/>
      <c r="M176" s="26">
        <f>K176</f>
        <v>0</v>
      </c>
      <c r="O176" s="357"/>
    </row>
    <row r="177" spans="1:16" s="27" customFormat="1" ht="25.5" x14ac:dyDescent="0.25">
      <c r="A177" s="42">
        <f t="shared" si="14"/>
        <v>167</v>
      </c>
      <c r="B177" s="15"/>
      <c r="C177" s="314" t="s">
        <v>13</v>
      </c>
      <c r="D177" s="315" t="s">
        <v>25</v>
      </c>
      <c r="E177" s="316" t="s">
        <v>14</v>
      </c>
      <c r="F177" s="317">
        <v>0.1</v>
      </c>
      <c r="G177" s="318">
        <f>G174*0.2*F177</f>
        <v>1.79</v>
      </c>
      <c r="H177" s="3"/>
      <c r="I177" s="24"/>
      <c r="J177" s="25">
        <f>H177</f>
        <v>0</v>
      </c>
      <c r="K177" s="25">
        <f>G177*H177</f>
        <v>0</v>
      </c>
      <c r="L177" s="25"/>
      <c r="M177" s="26">
        <f>K177</f>
        <v>0</v>
      </c>
      <c r="O177" s="357"/>
    </row>
    <row r="178" spans="1:16" s="27" customFormat="1" ht="25.5" x14ac:dyDescent="0.25">
      <c r="A178" s="42">
        <f t="shared" si="14"/>
        <v>168</v>
      </c>
      <c r="B178" s="15"/>
      <c r="C178" s="314" t="s">
        <v>23</v>
      </c>
      <c r="D178" s="330" t="s">
        <v>25</v>
      </c>
      <c r="E178" s="328" t="s">
        <v>10</v>
      </c>
      <c r="F178" s="329">
        <v>1.7</v>
      </c>
      <c r="G178" s="318">
        <f>G174*0.2*F178</f>
        <v>30.37</v>
      </c>
      <c r="H178" s="3"/>
      <c r="I178" s="24"/>
      <c r="J178" s="25">
        <f>H178</f>
        <v>0</v>
      </c>
      <c r="K178" s="25">
        <f>G178*H178</f>
        <v>0</v>
      </c>
      <c r="L178" s="25"/>
      <c r="M178" s="26">
        <f>K178</f>
        <v>0</v>
      </c>
      <c r="N178" s="68"/>
      <c r="O178" s="356"/>
      <c r="P178" s="68"/>
    </row>
    <row r="179" spans="1:16" s="68" customFormat="1" ht="25.5" x14ac:dyDescent="0.25">
      <c r="A179" s="42">
        <f t="shared" si="14"/>
        <v>169</v>
      </c>
      <c r="B179" s="15"/>
      <c r="C179" s="314" t="s">
        <v>104</v>
      </c>
      <c r="D179" s="315" t="s">
        <v>25</v>
      </c>
      <c r="E179" s="316" t="s">
        <v>14</v>
      </c>
      <c r="F179" s="317">
        <v>0.3</v>
      </c>
      <c r="G179" s="318">
        <f>89.33*0.2*F179</f>
        <v>5.36</v>
      </c>
      <c r="H179" s="3"/>
      <c r="I179" s="69"/>
      <c r="J179" s="25">
        <f>H179</f>
        <v>0</v>
      </c>
      <c r="K179" s="25">
        <f>G179*H179</f>
        <v>0</v>
      </c>
      <c r="L179" s="25"/>
      <c r="M179" s="26">
        <f>K179</f>
        <v>0</v>
      </c>
      <c r="N179" s="71"/>
      <c r="O179" s="390"/>
      <c r="P179" s="71"/>
    </row>
    <row r="180" spans="1:16" s="44" customFormat="1" ht="25.5" customHeight="1" x14ac:dyDescent="0.25">
      <c r="A180" s="305">
        <f>ROW()-10</f>
        <v>170</v>
      </c>
      <c r="B180" s="306" t="s">
        <v>113</v>
      </c>
      <c r="C180" s="307" t="s">
        <v>112</v>
      </c>
      <c r="D180" s="36"/>
      <c r="E180" s="308"/>
      <c r="F180" s="309"/>
      <c r="G180" s="310"/>
      <c r="H180" s="39"/>
      <c r="I180" s="37"/>
      <c r="J180" s="28"/>
      <c r="K180" s="28"/>
      <c r="L180" s="28"/>
      <c r="M180" s="40"/>
      <c r="N180" s="27"/>
      <c r="O180" s="357"/>
      <c r="P180" s="27"/>
    </row>
    <row r="181" spans="1:16" s="27" customFormat="1" ht="12.75" x14ac:dyDescent="0.25">
      <c r="A181" s="43">
        <f t="shared" ref="A181:A192" si="15">ROW()-10</f>
        <v>171</v>
      </c>
      <c r="B181" s="14" t="s">
        <v>113</v>
      </c>
      <c r="C181" s="8" t="s">
        <v>16</v>
      </c>
      <c r="D181" s="5" t="s">
        <v>22</v>
      </c>
      <c r="E181" s="6" t="s">
        <v>8</v>
      </c>
      <c r="F181" s="7">
        <v>1</v>
      </c>
      <c r="G181" s="18">
        <v>57.1</v>
      </c>
      <c r="H181" s="2"/>
      <c r="I181" s="4"/>
      <c r="J181" s="21">
        <f>I181</f>
        <v>0</v>
      </c>
      <c r="K181" s="21"/>
      <c r="L181" s="21">
        <f>G181*I181</f>
        <v>0</v>
      </c>
      <c r="M181" s="22">
        <f>L181</f>
        <v>0</v>
      </c>
      <c r="O181" s="357"/>
    </row>
    <row r="182" spans="1:16" s="27" customFormat="1" ht="25.5" x14ac:dyDescent="0.25">
      <c r="A182" s="41">
        <f t="shared" si="15"/>
        <v>172</v>
      </c>
      <c r="B182" s="38" t="s">
        <v>59</v>
      </c>
      <c r="C182" s="314" t="s">
        <v>58</v>
      </c>
      <c r="D182" s="315" t="s">
        <v>25</v>
      </c>
      <c r="E182" s="316" t="s">
        <v>8</v>
      </c>
      <c r="F182" s="317">
        <v>1.07</v>
      </c>
      <c r="G182" s="9">
        <f>G181*F182</f>
        <v>61.1</v>
      </c>
      <c r="H182" s="3"/>
      <c r="I182" s="24"/>
      <c r="J182" s="25">
        <f>H182</f>
        <v>0</v>
      </c>
      <c r="K182" s="25">
        <f>G182*H182</f>
        <v>0</v>
      </c>
      <c r="L182" s="25"/>
      <c r="M182" s="26">
        <f>K182</f>
        <v>0</v>
      </c>
      <c r="O182" s="357"/>
    </row>
    <row r="183" spans="1:16" s="27" customFormat="1" ht="25.5" x14ac:dyDescent="0.25">
      <c r="A183" s="42">
        <f t="shared" si="15"/>
        <v>173</v>
      </c>
      <c r="B183" s="15"/>
      <c r="C183" s="314" t="s">
        <v>9</v>
      </c>
      <c r="D183" s="315" t="s">
        <v>25</v>
      </c>
      <c r="E183" s="316" t="s">
        <v>10</v>
      </c>
      <c r="F183" s="317">
        <v>12</v>
      </c>
      <c r="G183" s="9">
        <f>G181*F183</f>
        <v>685.2</v>
      </c>
      <c r="H183" s="3"/>
      <c r="I183" s="24"/>
      <c r="J183" s="25">
        <f>H183</f>
        <v>0</v>
      </c>
      <c r="K183" s="25">
        <f>G183*H183</f>
        <v>0</v>
      </c>
      <c r="L183" s="25"/>
      <c r="M183" s="26">
        <f>K183</f>
        <v>0</v>
      </c>
      <c r="O183" s="357"/>
    </row>
    <row r="184" spans="1:16" s="27" customFormat="1" ht="25.5" x14ac:dyDescent="0.25">
      <c r="A184" s="42">
        <f t="shared" si="15"/>
        <v>174</v>
      </c>
      <c r="B184" s="15"/>
      <c r="C184" s="314" t="s">
        <v>11</v>
      </c>
      <c r="D184" s="315" t="s">
        <v>25</v>
      </c>
      <c r="E184" s="316" t="s">
        <v>10</v>
      </c>
      <c r="F184" s="317">
        <v>0.25</v>
      </c>
      <c r="G184" s="9">
        <f>G181*F184</f>
        <v>14.28</v>
      </c>
      <c r="H184" s="3"/>
      <c r="I184" s="24"/>
      <c r="J184" s="25">
        <f>H184</f>
        <v>0</v>
      </c>
      <c r="K184" s="25">
        <f>G184*H184</f>
        <v>0</v>
      </c>
      <c r="L184" s="25"/>
      <c r="M184" s="26">
        <f>K184</f>
        <v>0</v>
      </c>
      <c r="O184" s="357"/>
    </row>
    <row r="185" spans="1:16" s="27" customFormat="1" ht="12.75" x14ac:dyDescent="0.25">
      <c r="A185" s="43">
        <f t="shared" ref="A185:A195" si="16">ROW()-10</f>
        <v>175</v>
      </c>
      <c r="B185" s="14" t="s">
        <v>113</v>
      </c>
      <c r="C185" s="8" t="s">
        <v>62</v>
      </c>
      <c r="D185" s="5" t="s">
        <v>22</v>
      </c>
      <c r="E185" s="6" t="s">
        <v>8</v>
      </c>
      <c r="F185" s="7">
        <v>1</v>
      </c>
      <c r="G185" s="18">
        <v>6.2</v>
      </c>
      <c r="H185" s="2"/>
      <c r="I185" s="4"/>
      <c r="J185" s="21">
        <f>I185</f>
        <v>0</v>
      </c>
      <c r="K185" s="21"/>
      <c r="L185" s="21">
        <f>G185*I185</f>
        <v>0</v>
      </c>
      <c r="M185" s="22">
        <f>L185</f>
        <v>0</v>
      </c>
      <c r="O185" s="357"/>
    </row>
    <row r="186" spans="1:16" s="27" customFormat="1" ht="25.5" x14ac:dyDescent="0.25">
      <c r="A186" s="41">
        <f t="shared" si="16"/>
        <v>176</v>
      </c>
      <c r="B186" s="38" t="s">
        <v>64</v>
      </c>
      <c r="C186" s="314" t="s">
        <v>67</v>
      </c>
      <c r="D186" s="315" t="s">
        <v>25</v>
      </c>
      <c r="E186" s="316" t="s">
        <v>8</v>
      </c>
      <c r="F186" s="317">
        <v>1.07</v>
      </c>
      <c r="G186" s="9">
        <f>G185*F186</f>
        <v>6.63</v>
      </c>
      <c r="H186" s="3"/>
      <c r="I186" s="24"/>
      <c r="J186" s="25">
        <f>H186</f>
        <v>0</v>
      </c>
      <c r="K186" s="25">
        <f>G186*H186</f>
        <v>0</v>
      </c>
      <c r="L186" s="25"/>
      <c r="M186" s="26">
        <f>K186</f>
        <v>0</v>
      </c>
      <c r="O186" s="357"/>
    </row>
    <row r="187" spans="1:16" s="27" customFormat="1" ht="25.5" x14ac:dyDescent="0.25">
      <c r="A187" s="42">
        <f t="shared" si="16"/>
        <v>177</v>
      </c>
      <c r="B187" s="15"/>
      <c r="C187" s="314" t="s">
        <v>9</v>
      </c>
      <c r="D187" s="315" t="s">
        <v>25</v>
      </c>
      <c r="E187" s="316" t="s">
        <v>10</v>
      </c>
      <c r="F187" s="317">
        <v>12</v>
      </c>
      <c r="G187" s="9">
        <f>G185*F187</f>
        <v>74.400000000000006</v>
      </c>
      <c r="H187" s="3"/>
      <c r="I187" s="24"/>
      <c r="J187" s="25">
        <f>H187</f>
        <v>0</v>
      </c>
      <c r="K187" s="25">
        <f>G187*H187</f>
        <v>0</v>
      </c>
      <c r="L187" s="25"/>
      <c r="M187" s="26">
        <f>K187</f>
        <v>0</v>
      </c>
      <c r="O187" s="357"/>
    </row>
    <row r="188" spans="1:16" s="27" customFormat="1" ht="25.5" x14ac:dyDescent="0.25">
      <c r="A188" s="42">
        <f t="shared" si="16"/>
        <v>178</v>
      </c>
      <c r="B188" s="15"/>
      <c r="C188" s="314" t="s">
        <v>11</v>
      </c>
      <c r="D188" s="315" t="s">
        <v>25</v>
      </c>
      <c r="E188" s="316" t="s">
        <v>10</v>
      </c>
      <c r="F188" s="317">
        <v>0.25</v>
      </c>
      <c r="G188" s="9">
        <f>G185*F188</f>
        <v>1.55</v>
      </c>
      <c r="H188" s="3"/>
      <c r="I188" s="24"/>
      <c r="J188" s="25">
        <f>H188</f>
        <v>0</v>
      </c>
      <c r="K188" s="25">
        <f>G188*H188</f>
        <v>0</v>
      </c>
      <c r="L188" s="25"/>
      <c r="M188" s="26">
        <f>K188</f>
        <v>0</v>
      </c>
      <c r="O188" s="357"/>
    </row>
    <row r="189" spans="1:16" s="27" customFormat="1" ht="25.5" x14ac:dyDescent="0.25">
      <c r="A189" s="43">
        <f t="shared" si="15"/>
        <v>179</v>
      </c>
      <c r="B189" s="14" t="s">
        <v>113</v>
      </c>
      <c r="C189" s="8" t="s">
        <v>17</v>
      </c>
      <c r="D189" s="5" t="s">
        <v>22</v>
      </c>
      <c r="E189" s="6" t="s">
        <v>12</v>
      </c>
      <c r="F189" s="7">
        <v>1</v>
      </c>
      <c r="G189" s="18">
        <f>51.3+6.2</f>
        <v>57.5</v>
      </c>
      <c r="H189" s="2"/>
      <c r="I189" s="4"/>
      <c r="J189" s="21">
        <f>I189</f>
        <v>0</v>
      </c>
      <c r="K189" s="21"/>
      <c r="L189" s="21">
        <f>G189*I189</f>
        <v>0</v>
      </c>
      <c r="M189" s="22">
        <f>L189</f>
        <v>0</v>
      </c>
      <c r="O189" s="357"/>
    </row>
    <row r="190" spans="1:16" s="27" customFormat="1" ht="25.5" x14ac:dyDescent="0.25">
      <c r="A190" s="42">
        <f t="shared" si="15"/>
        <v>180</v>
      </c>
      <c r="B190" s="15" t="s">
        <v>65</v>
      </c>
      <c r="C190" s="314" t="s">
        <v>66</v>
      </c>
      <c r="D190" s="315" t="s">
        <v>25</v>
      </c>
      <c r="E190" s="316" t="s">
        <v>8</v>
      </c>
      <c r="F190" s="317">
        <v>1.07</v>
      </c>
      <c r="G190" s="9">
        <f>G189*0.1*F190</f>
        <v>6.15</v>
      </c>
      <c r="H190" s="3"/>
      <c r="I190" s="24"/>
      <c r="J190" s="25">
        <f>H190</f>
        <v>0</v>
      </c>
      <c r="K190" s="25">
        <f>G190*H190</f>
        <v>0</v>
      </c>
      <c r="L190" s="25"/>
      <c r="M190" s="26">
        <f>K190</f>
        <v>0</v>
      </c>
      <c r="O190" s="357"/>
    </row>
    <row r="191" spans="1:16" s="27" customFormat="1" ht="25.5" x14ac:dyDescent="0.25">
      <c r="A191" s="42">
        <f t="shared" si="15"/>
        <v>181</v>
      </c>
      <c r="B191" s="15"/>
      <c r="C191" s="314" t="s">
        <v>9</v>
      </c>
      <c r="D191" s="315" t="s">
        <v>25</v>
      </c>
      <c r="E191" s="316" t="s">
        <v>10</v>
      </c>
      <c r="F191" s="317">
        <v>12</v>
      </c>
      <c r="G191" s="9">
        <f>G189*0.1*F191</f>
        <v>69</v>
      </c>
      <c r="H191" s="3"/>
      <c r="I191" s="24"/>
      <c r="J191" s="25">
        <f>H191</f>
        <v>0</v>
      </c>
      <c r="K191" s="25">
        <f>G191*H191</f>
        <v>0</v>
      </c>
      <c r="L191" s="25"/>
      <c r="M191" s="26">
        <f>K191</f>
        <v>0</v>
      </c>
      <c r="O191" s="357"/>
    </row>
    <row r="192" spans="1:16" s="27" customFormat="1" ht="25.5" x14ac:dyDescent="0.25">
      <c r="A192" s="42">
        <f t="shared" si="15"/>
        <v>182</v>
      </c>
      <c r="B192" s="15"/>
      <c r="C192" s="314" t="s">
        <v>11</v>
      </c>
      <c r="D192" s="315" t="s">
        <v>25</v>
      </c>
      <c r="E192" s="316" t="s">
        <v>10</v>
      </c>
      <c r="F192" s="317">
        <v>0.25</v>
      </c>
      <c r="G192" s="9">
        <f>G189*0.1*F192</f>
        <v>1.44</v>
      </c>
      <c r="H192" s="3"/>
      <c r="I192" s="24"/>
      <c r="J192" s="25">
        <f>H192</f>
        <v>0</v>
      </c>
      <c r="K192" s="25">
        <f>G192*H192</f>
        <v>0</v>
      </c>
      <c r="L192" s="25"/>
      <c r="M192" s="26">
        <f>K192</f>
        <v>0</v>
      </c>
      <c r="O192" s="357"/>
    </row>
    <row r="193" spans="1:16" s="27" customFormat="1" ht="12.75" x14ac:dyDescent="0.25">
      <c r="A193" s="43">
        <f t="shared" si="16"/>
        <v>183</v>
      </c>
      <c r="B193" s="14" t="s">
        <v>113</v>
      </c>
      <c r="C193" s="8" t="s">
        <v>76</v>
      </c>
      <c r="D193" s="5" t="s">
        <v>22</v>
      </c>
      <c r="E193" s="6" t="s">
        <v>12</v>
      </c>
      <c r="F193" s="7">
        <v>1</v>
      </c>
      <c r="G193" s="18">
        <v>3.5</v>
      </c>
      <c r="H193" s="2"/>
      <c r="I193" s="4"/>
      <c r="J193" s="21">
        <f>I193</f>
        <v>0</v>
      </c>
      <c r="K193" s="21"/>
      <c r="L193" s="21">
        <f>G193*I193</f>
        <v>0</v>
      </c>
      <c r="M193" s="22">
        <f>L193</f>
        <v>0</v>
      </c>
      <c r="O193" s="357"/>
    </row>
    <row r="194" spans="1:16" s="27" customFormat="1" ht="25.5" x14ac:dyDescent="0.25">
      <c r="A194" s="42">
        <f t="shared" si="16"/>
        <v>184</v>
      </c>
      <c r="B194" s="15"/>
      <c r="C194" s="314" t="s">
        <v>130</v>
      </c>
      <c r="D194" s="315" t="s">
        <v>25</v>
      </c>
      <c r="E194" s="316" t="s">
        <v>14</v>
      </c>
      <c r="F194" s="317">
        <v>0.3</v>
      </c>
      <c r="G194" s="9">
        <f>G193*0.1*F194</f>
        <v>0.11</v>
      </c>
      <c r="H194" s="3"/>
      <c r="I194" s="24"/>
      <c r="J194" s="25">
        <f>H194</f>
        <v>0</v>
      </c>
      <c r="K194" s="25">
        <f>G194*H194</f>
        <v>0</v>
      </c>
      <c r="L194" s="25"/>
      <c r="M194" s="26">
        <f>K194</f>
        <v>0</v>
      </c>
      <c r="O194" s="357"/>
    </row>
    <row r="195" spans="1:16" s="27" customFormat="1" ht="26.25" thickBot="1" x14ac:dyDescent="0.3">
      <c r="A195" s="42">
        <f t="shared" si="16"/>
        <v>185</v>
      </c>
      <c r="B195" s="15"/>
      <c r="C195" s="314" t="s">
        <v>13</v>
      </c>
      <c r="D195" s="315" t="s">
        <v>25</v>
      </c>
      <c r="E195" s="316" t="s">
        <v>14</v>
      </c>
      <c r="F195" s="317">
        <v>0.1</v>
      </c>
      <c r="G195" s="9">
        <f>G193*0.1*F195</f>
        <v>0.04</v>
      </c>
      <c r="H195" s="3"/>
      <c r="I195" s="24"/>
      <c r="J195" s="25">
        <f>H195</f>
        <v>0</v>
      </c>
      <c r="K195" s="25">
        <f>G195*H195</f>
        <v>0</v>
      </c>
      <c r="L195" s="25"/>
      <c r="M195" s="26">
        <f>K195</f>
        <v>0</v>
      </c>
      <c r="O195" s="357"/>
    </row>
    <row r="196" spans="1:16" s="29" customFormat="1" x14ac:dyDescent="0.25">
      <c r="A196" s="56"/>
      <c r="B196" s="57"/>
      <c r="C196" s="58" t="s">
        <v>135</v>
      </c>
      <c r="D196" s="59"/>
      <c r="E196" s="59"/>
      <c r="F196" s="59"/>
      <c r="G196" s="59"/>
      <c r="H196" s="59"/>
      <c r="I196" s="59"/>
      <c r="J196" s="59"/>
      <c r="K196" s="59">
        <f>SUM(K11:K195)</f>
        <v>0</v>
      </c>
      <c r="L196" s="59">
        <f>SUM(L11:L195)</f>
        <v>0</v>
      </c>
      <c r="M196" s="60">
        <f>SUM(M11:M195)</f>
        <v>0</v>
      </c>
      <c r="N196" s="19"/>
      <c r="O196" s="360"/>
      <c r="P196" s="19"/>
    </row>
    <row r="197" spans="1:16" ht="15.75" thickBot="1" x14ac:dyDescent="0.3">
      <c r="A197" s="61"/>
      <c r="B197" s="62"/>
      <c r="C197" s="63" t="s">
        <v>136</v>
      </c>
      <c r="D197" s="64"/>
      <c r="E197" s="65"/>
      <c r="F197" s="65"/>
      <c r="G197" s="65"/>
      <c r="H197" s="65"/>
      <c r="I197" s="65"/>
      <c r="J197" s="66"/>
      <c r="K197" s="65"/>
      <c r="L197" s="65"/>
      <c r="M197" s="72">
        <f>M196*0.22/1.22</f>
        <v>0</v>
      </c>
      <c r="O197" s="360"/>
    </row>
    <row r="198" spans="1:16" x14ac:dyDescent="0.25">
      <c r="A198" s="333" t="s">
        <v>142</v>
      </c>
      <c r="B198" s="334"/>
      <c r="C198" s="334"/>
      <c r="D198" s="334"/>
      <c r="E198" s="334"/>
      <c r="F198" s="334"/>
      <c r="G198" s="335"/>
      <c r="H198" s="336"/>
      <c r="I198" s="336"/>
      <c r="J198" s="337"/>
      <c r="K198" s="337"/>
      <c r="L198" s="337"/>
      <c r="M198" s="338"/>
      <c r="O198" s="360"/>
    </row>
    <row r="199" spans="1:16" x14ac:dyDescent="0.2">
      <c r="A199" s="362">
        <v>1</v>
      </c>
      <c r="B199" s="363"/>
      <c r="C199" s="364" t="s">
        <v>143</v>
      </c>
      <c r="D199" s="365"/>
      <c r="E199" s="366"/>
      <c r="F199" s="366"/>
      <c r="G199" s="367"/>
      <c r="H199" s="368"/>
      <c r="I199" s="369"/>
      <c r="J199" s="370"/>
      <c r="K199" s="370"/>
      <c r="L199" s="370"/>
      <c r="M199" s="371"/>
      <c r="O199" s="360"/>
    </row>
    <row r="200" spans="1:16" x14ac:dyDescent="0.2">
      <c r="A200" s="372">
        <v>2</v>
      </c>
      <c r="B200" s="373"/>
      <c r="C200" s="374" t="s">
        <v>144</v>
      </c>
      <c r="D200" s="375"/>
      <c r="E200" s="376"/>
      <c r="F200" s="376"/>
      <c r="G200" s="377"/>
      <c r="H200" s="368"/>
      <c r="I200" s="369"/>
      <c r="J200" s="370"/>
      <c r="K200" s="370"/>
      <c r="L200" s="370"/>
      <c r="M200" s="371"/>
      <c r="O200" s="360"/>
    </row>
    <row r="201" spans="1:16" x14ac:dyDescent="0.2">
      <c r="A201" s="372">
        <v>3</v>
      </c>
      <c r="B201" s="363"/>
      <c r="C201" s="374" t="s">
        <v>145</v>
      </c>
      <c r="D201" s="375"/>
      <c r="E201" s="376"/>
      <c r="F201" s="376"/>
      <c r="G201" s="377"/>
      <c r="H201" s="368"/>
      <c r="I201" s="369"/>
      <c r="J201" s="370"/>
      <c r="K201" s="370"/>
      <c r="L201" s="370"/>
      <c r="M201" s="371"/>
      <c r="O201" s="360"/>
    </row>
    <row r="202" spans="1:16" ht="25.5" x14ac:dyDescent="0.2">
      <c r="A202" s="372">
        <v>4</v>
      </c>
      <c r="B202" s="373"/>
      <c r="C202" s="374" t="s">
        <v>146</v>
      </c>
      <c r="D202" s="375"/>
      <c r="E202" s="376"/>
      <c r="F202" s="376"/>
      <c r="G202" s="377"/>
      <c r="H202" s="368"/>
      <c r="I202" s="369"/>
      <c r="J202" s="370"/>
      <c r="K202" s="370"/>
      <c r="L202" s="370"/>
      <c r="M202" s="371"/>
      <c r="O202" s="360"/>
    </row>
    <row r="203" spans="1:16" ht="25.5" x14ac:dyDescent="0.2">
      <c r="A203" s="372">
        <v>5</v>
      </c>
      <c r="B203" s="363"/>
      <c r="C203" s="374" t="s">
        <v>147</v>
      </c>
      <c r="D203" s="375"/>
      <c r="E203" s="376"/>
      <c r="F203" s="376"/>
      <c r="G203" s="377"/>
      <c r="H203" s="368"/>
      <c r="I203" s="369"/>
      <c r="J203" s="370"/>
      <c r="K203" s="370"/>
      <c r="L203" s="370"/>
      <c r="M203" s="371"/>
      <c r="O203" s="360"/>
    </row>
    <row r="204" spans="1:16" x14ac:dyDescent="0.2">
      <c r="A204" s="372">
        <v>6</v>
      </c>
      <c r="B204" s="373"/>
      <c r="C204" s="374" t="s">
        <v>148</v>
      </c>
      <c r="D204" s="375"/>
      <c r="E204" s="376"/>
      <c r="F204" s="376"/>
      <c r="G204" s="377"/>
      <c r="H204" s="368"/>
      <c r="I204" s="369"/>
      <c r="J204" s="370"/>
      <c r="K204" s="370"/>
      <c r="L204" s="370"/>
      <c r="M204" s="371"/>
      <c r="O204" s="360"/>
    </row>
    <row r="205" spans="1:16" x14ac:dyDescent="0.2">
      <c r="A205" s="372">
        <v>7</v>
      </c>
      <c r="B205" s="363"/>
      <c r="C205" s="374" t="s">
        <v>149</v>
      </c>
      <c r="D205" s="375"/>
      <c r="E205" s="376"/>
      <c r="F205" s="376"/>
      <c r="G205" s="377"/>
      <c r="H205" s="368"/>
      <c r="I205" s="369"/>
      <c r="J205" s="370"/>
      <c r="K205" s="370"/>
      <c r="L205" s="370"/>
      <c r="M205" s="371"/>
      <c r="O205" s="360"/>
    </row>
    <row r="206" spans="1:16" x14ac:dyDescent="0.2">
      <c r="A206" s="372">
        <v>8</v>
      </c>
      <c r="B206" s="373"/>
      <c r="C206" s="374" t="s">
        <v>150</v>
      </c>
      <c r="D206" s="375"/>
      <c r="E206" s="376"/>
      <c r="F206" s="376"/>
      <c r="G206" s="377"/>
      <c r="H206" s="368"/>
      <c r="I206" s="369"/>
      <c r="J206" s="370"/>
      <c r="K206" s="370"/>
      <c r="L206" s="370"/>
      <c r="M206" s="371"/>
      <c r="O206" s="360"/>
    </row>
    <row r="207" spans="1:16" x14ac:dyDescent="0.2">
      <c r="A207" s="372">
        <v>9</v>
      </c>
      <c r="B207" s="363"/>
      <c r="C207" s="374" t="s">
        <v>151</v>
      </c>
      <c r="D207" s="375"/>
      <c r="E207" s="376"/>
      <c r="F207" s="376"/>
      <c r="G207" s="377"/>
      <c r="H207" s="368"/>
      <c r="I207" s="369"/>
      <c r="J207" s="370"/>
      <c r="K207" s="370"/>
      <c r="L207" s="370"/>
      <c r="M207" s="371"/>
      <c r="O207" s="360"/>
    </row>
    <row r="208" spans="1:16" ht="25.5" x14ac:dyDescent="0.2">
      <c r="A208" s="372">
        <v>10</v>
      </c>
      <c r="B208" s="373"/>
      <c r="C208" s="378" t="s">
        <v>152</v>
      </c>
      <c r="D208" s="379"/>
      <c r="E208" s="376"/>
      <c r="F208" s="376"/>
      <c r="G208" s="377"/>
      <c r="H208" s="368"/>
      <c r="I208" s="369"/>
      <c r="J208" s="370"/>
      <c r="K208" s="370"/>
      <c r="L208" s="370"/>
      <c r="M208" s="371"/>
      <c r="O208" s="360"/>
    </row>
    <row r="209" spans="1:15" ht="15.75" thickBot="1" x14ac:dyDescent="0.25">
      <c r="A209" s="380">
        <v>11</v>
      </c>
      <c r="B209" s="381"/>
      <c r="C209" s="382" t="s">
        <v>153</v>
      </c>
      <c r="D209" s="383"/>
      <c r="E209" s="384"/>
      <c r="F209" s="384"/>
      <c r="G209" s="385"/>
      <c r="H209" s="386"/>
      <c r="I209" s="387"/>
      <c r="J209" s="388"/>
      <c r="K209" s="388"/>
      <c r="L209" s="388"/>
      <c r="M209" s="389"/>
      <c r="O209" s="361"/>
    </row>
    <row r="210" spans="1:15" x14ac:dyDescent="0.25">
      <c r="A210" s="339"/>
      <c r="B210" s="340"/>
      <c r="C210" s="341"/>
      <c r="D210" s="339"/>
      <c r="E210" s="340"/>
      <c r="F210" s="340"/>
      <c r="H210" s="340"/>
      <c r="I210" s="340"/>
      <c r="J210" s="342"/>
      <c r="K210" s="340"/>
      <c r="L210" s="340"/>
      <c r="M210" s="340"/>
    </row>
    <row r="211" spans="1:15" ht="81.75" customHeight="1" x14ac:dyDescent="0.25">
      <c r="A211" s="343" t="s">
        <v>156</v>
      </c>
      <c r="B211" s="344"/>
      <c r="C211" s="344"/>
      <c r="D211" s="344"/>
      <c r="E211" s="344"/>
      <c r="F211" s="344"/>
      <c r="G211" s="344"/>
      <c r="H211" s="344"/>
      <c r="I211" s="344"/>
      <c r="J211" s="344"/>
      <c r="K211" s="344"/>
      <c r="L211" s="344"/>
      <c r="M211" s="344"/>
    </row>
    <row r="212" spans="1:15" ht="62.25" customHeight="1" x14ac:dyDescent="0.2">
      <c r="A212" s="263"/>
      <c r="B212" s="263"/>
      <c r="C212" s="264" t="s">
        <v>154</v>
      </c>
      <c r="D212" s="264"/>
      <c r="E212" s="264"/>
      <c r="F212" s="264"/>
      <c r="G212" s="264"/>
      <c r="H212" s="264"/>
      <c r="I212" s="345"/>
      <c r="J212" s="345"/>
      <c r="K212" s="346"/>
      <c r="L212" s="345"/>
      <c r="M212" s="347"/>
    </row>
  </sheetData>
  <sheetProtection algorithmName="SHA-512" hashValue="2mp/ywu9aL5mTYR426s07g+/0XaYzknnnpqcSB9CdgdWgz2R0AtxIp4bm3PcyR7HgrczyCHt23XGnubbBp+J4A==" saltValue="CbKEWdeGBT+bZ2O96q8APQ==" spinCount="100000" sheet="1" autoFilter="0"/>
  <autoFilter ref="A10:M209" xr:uid="{00000000-0001-0000-0000-000000000000}"/>
  <mergeCells count="16">
    <mergeCell ref="A211:M211"/>
    <mergeCell ref="O8:O10"/>
    <mergeCell ref="H8:I8"/>
    <mergeCell ref="J8:J9"/>
    <mergeCell ref="K8:L8"/>
    <mergeCell ref="M8:M9"/>
    <mergeCell ref="A4:M4"/>
    <mergeCell ref="A5:M5"/>
    <mergeCell ref="A6:M6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7</vt:i4>
      </vt:variant>
    </vt:vector>
  </HeadingPairs>
  <TitlesOfParts>
    <vt:vector size="14" baseType="lpstr">
      <vt:lpstr>1А</vt:lpstr>
      <vt:lpstr>1Б</vt:lpstr>
      <vt:lpstr>2А</vt:lpstr>
      <vt:lpstr>2Б</vt:lpstr>
      <vt:lpstr>3А</vt:lpstr>
      <vt:lpstr>3Б</vt:lpstr>
      <vt:lpstr>3В</vt:lpstr>
      <vt:lpstr>'1А'!Область_печати</vt:lpstr>
      <vt:lpstr>'1Б'!Область_печати</vt:lpstr>
      <vt:lpstr>'2А'!Область_печати</vt:lpstr>
      <vt:lpstr>'2Б'!Область_печати</vt:lpstr>
      <vt:lpstr>'3А'!Область_печати</vt:lpstr>
      <vt:lpstr>'3Б'!Область_печати</vt:lpstr>
      <vt:lpstr>'3В'!Область_печати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Соловьева</dc:creator>
  <cp:lastModifiedBy>Мария Лейс</cp:lastModifiedBy>
  <cp:revision>1</cp:revision>
  <cp:lastPrinted>2023-07-19T10:48:47Z</cp:lastPrinted>
  <dcterms:created xsi:type="dcterms:W3CDTF">2015-06-05T18:19:34Z</dcterms:created>
  <dcterms:modified xsi:type="dcterms:W3CDTF">2026-08-17T09:50:35Z</dcterms:modified>
</cp:coreProperties>
</file>