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e.shilkova\Desktop\Расчеты  Машинистов  Тетро\ВДЦ Машинистов\Кладка стен и перегородок\"/>
    </mc:Choice>
  </mc:AlternateContent>
  <xr:revisionPtr revIDLastSave="0" documentId="13_ncr:1_{BE487F0B-29F7-4ACC-B429-7AC0E9C11FF9}" xr6:coauthVersionLast="47" xr6:coauthVersionMax="47" xr10:uidLastSave="{00000000-0000-0000-0000-000000000000}"/>
  <bookViews>
    <workbookView xWindow="-28920" yWindow="-120" windowWidth="29040" windowHeight="15840" activeTab="2" xr2:uid="{00000000-000D-0000-FFFF-FFFF00000000}"/>
  </bookViews>
  <sheets>
    <sheet name="ВДЦ силикатный блок" sheetId="7" r:id="rId1"/>
    <sheet name="ЭТП" sheetId="12" r:id="rId2"/>
    <sheet name="ВДЦ для ЭП" sheetId="8" r:id="rId3"/>
  </sheets>
  <definedNames>
    <definedName name="_xlnm._FilterDatabase" localSheetId="2" hidden="1">'ВДЦ для ЭП'!$A$9:$Q$203</definedName>
    <definedName name="_xlnm._FilterDatabase" localSheetId="0" hidden="1">'ВДЦ силикатный блок'!$A$9:$Q$203</definedName>
    <definedName name="_xlnm.Print_Area" localSheetId="2">'ВДЦ для ЭП'!$A$1:$R$260</definedName>
    <definedName name="_xlnm.Print_Area" localSheetId="0">'ВДЦ силикатный блок'!$A$1:$R$260</definedName>
  </definedNames>
  <calcPr calcId="191029"/>
  <pivotCaches>
    <pivotCache cacheId="33"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202" i="8" l="1"/>
  <c r="K200" i="8"/>
  <c r="K201" i="8"/>
  <c r="K199" i="8"/>
  <c r="K196" i="7" l="1"/>
  <c r="K197" i="7"/>
  <c r="K192" i="7"/>
  <c r="K193" i="7"/>
  <c r="K194" i="7"/>
  <c r="K195" i="7"/>
  <c r="K172" i="7"/>
  <c r="K173" i="7"/>
  <c r="K174" i="7"/>
  <c r="K175" i="7"/>
  <c r="K176" i="7"/>
  <c r="K177" i="7"/>
  <c r="K178" i="7"/>
  <c r="K179" i="7"/>
  <c r="K180" i="7"/>
  <c r="K181" i="7"/>
  <c r="K182" i="7"/>
  <c r="K183" i="7"/>
  <c r="K184" i="7"/>
  <c r="K185" i="7"/>
  <c r="K186" i="7"/>
  <c r="K187" i="7"/>
  <c r="K188" i="7"/>
  <c r="K189" i="7"/>
  <c r="K190" i="7"/>
  <c r="K191" i="7"/>
  <c r="K162" i="7"/>
  <c r="K163" i="7"/>
  <c r="K164" i="7"/>
  <c r="K165" i="7"/>
  <c r="K166" i="7"/>
  <c r="K167" i="7"/>
  <c r="K168" i="7"/>
  <c r="K169" i="7"/>
  <c r="K170" i="7"/>
  <c r="K171" i="7"/>
  <c r="K151" i="7"/>
  <c r="K152" i="7"/>
  <c r="K153" i="7"/>
  <c r="K154" i="7"/>
  <c r="K155" i="7"/>
  <c r="K156" i="7"/>
  <c r="K157" i="7"/>
  <c r="K158" i="7"/>
  <c r="K159" i="7"/>
  <c r="K160" i="7"/>
  <c r="K161" i="7"/>
  <c r="K148" i="7"/>
  <c r="K149" i="7"/>
  <c r="K150" i="7"/>
  <c r="K145" i="7"/>
  <c r="K146" i="7"/>
  <c r="K147" i="7"/>
  <c r="K144" i="7"/>
  <c r="K130" i="7"/>
  <c r="K131" i="7"/>
  <c r="K132" i="7"/>
  <c r="K133" i="7"/>
  <c r="K134" i="7"/>
  <c r="K135" i="7"/>
  <c r="K136" i="7"/>
  <c r="K137" i="7"/>
  <c r="K138" i="7"/>
  <c r="K139" i="7"/>
  <c r="K140" i="7"/>
  <c r="K141" i="7"/>
  <c r="K142" i="7"/>
  <c r="K143" i="7"/>
  <c r="K118" i="7"/>
  <c r="K119" i="7"/>
  <c r="K120" i="7"/>
  <c r="K121" i="7"/>
  <c r="K122" i="7"/>
  <c r="K123" i="7"/>
  <c r="K124" i="7"/>
  <c r="K125" i="7"/>
  <c r="K126" i="7"/>
  <c r="K127" i="7"/>
  <c r="K128" i="7"/>
  <c r="K129" i="7"/>
  <c r="K117" i="7"/>
  <c r="K112" i="7"/>
  <c r="K113" i="7"/>
  <c r="K114" i="7"/>
  <c r="K115" i="7"/>
  <c r="K111" i="7"/>
  <c r="K107" i="7"/>
  <c r="K108" i="7"/>
  <c r="K109" i="7"/>
  <c r="K106" i="7"/>
  <c r="K101" i="7"/>
  <c r="K102" i="7"/>
  <c r="K103" i="7"/>
  <c r="K104" i="7"/>
  <c r="K100" i="7"/>
  <c r="K95" i="7"/>
  <c r="K96" i="7"/>
  <c r="K97" i="7"/>
  <c r="K98" i="7"/>
  <c r="K94" i="7"/>
  <c r="J91" i="7"/>
  <c r="K85" i="7"/>
  <c r="K86" i="7"/>
  <c r="K87" i="7"/>
  <c r="K88" i="7"/>
  <c r="K89" i="7"/>
  <c r="K90" i="7"/>
  <c r="K91" i="7"/>
  <c r="K84" i="7"/>
  <c r="K64" i="7"/>
  <c r="K65" i="7"/>
  <c r="K66" i="7"/>
  <c r="K67" i="7"/>
  <c r="K68" i="7"/>
  <c r="K69" i="7"/>
  <c r="K70" i="7"/>
  <c r="K71" i="7"/>
  <c r="K72" i="7"/>
  <c r="K73" i="7"/>
  <c r="K74" i="7"/>
  <c r="K75" i="7"/>
  <c r="K76" i="7"/>
  <c r="K77" i="7"/>
  <c r="K78" i="7"/>
  <c r="K79" i="7"/>
  <c r="K80" i="7"/>
  <c r="K81" i="7"/>
  <c r="K82" i="7"/>
  <c r="K83" i="7"/>
  <c r="K59" i="7"/>
  <c r="K60" i="7"/>
  <c r="K61" i="7"/>
  <c r="K62" i="7"/>
  <c r="K63" i="7"/>
  <c r="K55" i="7"/>
  <c r="K56" i="7"/>
  <c r="K57" i="7"/>
  <c r="K58" i="7"/>
  <c r="K54" i="7"/>
  <c r="K50" i="7"/>
  <c r="K51" i="7"/>
  <c r="K52" i="7"/>
  <c r="K49" i="7"/>
  <c r="K44" i="7"/>
  <c r="K45" i="7"/>
  <c r="K46" i="7"/>
  <c r="K47" i="7"/>
  <c r="K43" i="7"/>
  <c r="K38" i="7"/>
  <c r="K39" i="7"/>
  <c r="K40" i="7"/>
  <c r="K37" i="7"/>
  <c r="K33" i="7"/>
  <c r="K34" i="7"/>
  <c r="K35" i="7"/>
  <c r="K32" i="7"/>
  <c r="K27" i="7"/>
  <c r="K28" i="7"/>
  <c r="K29" i="7"/>
  <c r="K30" i="7"/>
  <c r="K26" i="7"/>
  <c r="K21" i="7"/>
  <c r="K22" i="7"/>
  <c r="K23" i="7"/>
  <c r="K24" i="7"/>
  <c r="K20" i="7"/>
  <c r="K15" i="7"/>
  <c r="K16" i="7"/>
  <c r="K17" i="7"/>
  <c r="K18" i="7"/>
  <c r="K14" i="7"/>
  <c r="N197" i="8"/>
  <c r="K196" i="8"/>
  <c r="N191" i="8"/>
  <c r="Q197" i="8"/>
  <c r="N195" i="8"/>
  <c r="K198" i="7"/>
  <c r="K199" i="7"/>
  <c r="K200" i="7"/>
  <c r="K201" i="7"/>
  <c r="K198" i="8" l="1"/>
  <c r="H193" i="7" l="1"/>
  <c r="H194" i="8"/>
  <c r="J51" i="8"/>
  <c r="J46" i="8"/>
  <c r="J45" i="8"/>
  <c r="H39" i="8"/>
  <c r="H38" i="8"/>
  <c r="H34" i="8"/>
  <c r="H33" i="8"/>
  <c r="H30" i="8"/>
  <c r="H27" i="8"/>
  <c r="H16" i="8"/>
  <c r="H40" i="8"/>
  <c r="H193" i="8"/>
  <c r="H195" i="8" s="1"/>
  <c r="P197" i="8" l="1"/>
  <c r="N196" i="8"/>
  <c r="N194" i="8"/>
  <c r="K195" i="8"/>
  <c r="N193" i="8"/>
  <c r="K193" i="8"/>
  <c r="P193" i="8" s="1"/>
  <c r="N192" i="8"/>
  <c r="K192" i="8"/>
  <c r="O192" i="8" s="1"/>
  <c r="K191" i="8"/>
  <c r="N190" i="8"/>
  <c r="H190" i="8"/>
  <c r="K190" i="8" s="1"/>
  <c r="P190" i="8" s="1"/>
  <c r="N189" i="8"/>
  <c r="K189" i="8"/>
  <c r="P189" i="8" s="1"/>
  <c r="N188" i="8"/>
  <c r="H188" i="8"/>
  <c r="K188" i="8" s="1"/>
  <c r="N187" i="8"/>
  <c r="K187" i="8"/>
  <c r="O187" i="8" s="1"/>
  <c r="N186" i="8"/>
  <c r="K186" i="8"/>
  <c r="O186" i="8" s="1"/>
  <c r="N185" i="8"/>
  <c r="K185" i="8"/>
  <c r="N184" i="8"/>
  <c r="K184" i="8"/>
  <c r="P184" i="8" s="1"/>
  <c r="N183" i="8"/>
  <c r="K183" i="8"/>
  <c r="O183" i="8" s="1"/>
  <c r="N182" i="8"/>
  <c r="K182" i="8"/>
  <c r="O182" i="8" s="1"/>
  <c r="N181" i="8"/>
  <c r="K181" i="8"/>
  <c r="N180" i="8"/>
  <c r="K180" i="8"/>
  <c r="P180" i="8" s="1"/>
  <c r="N179" i="8"/>
  <c r="K179" i="8"/>
  <c r="O179" i="8" s="1"/>
  <c r="N178" i="8"/>
  <c r="K178" i="8"/>
  <c r="O178" i="8" s="1"/>
  <c r="N177" i="8"/>
  <c r="K177" i="8"/>
  <c r="N176" i="8"/>
  <c r="K176" i="8"/>
  <c r="P176" i="8" s="1"/>
  <c r="N175" i="8"/>
  <c r="K175" i="8"/>
  <c r="O175" i="8" s="1"/>
  <c r="N174" i="8"/>
  <c r="K174" i="8"/>
  <c r="O174" i="8" s="1"/>
  <c r="N173" i="8"/>
  <c r="K173" i="8"/>
  <c r="N172" i="8"/>
  <c r="K172" i="8"/>
  <c r="P172" i="8" s="1"/>
  <c r="N171" i="8"/>
  <c r="K171" i="8"/>
  <c r="O171" i="8" s="1"/>
  <c r="N170" i="8"/>
  <c r="K170" i="8"/>
  <c r="O170" i="8" s="1"/>
  <c r="N169" i="8"/>
  <c r="K169" i="8"/>
  <c r="N168" i="8"/>
  <c r="H168" i="8"/>
  <c r="K168" i="8" s="1"/>
  <c r="P168" i="8" s="1"/>
  <c r="N167" i="8"/>
  <c r="K167" i="8"/>
  <c r="N166" i="8"/>
  <c r="H166" i="8"/>
  <c r="K166" i="8" s="1"/>
  <c r="P166" i="8" s="1"/>
  <c r="N165" i="8"/>
  <c r="K165" i="8"/>
  <c r="P165" i="8" s="1"/>
  <c r="N164" i="8"/>
  <c r="K164" i="8"/>
  <c r="N163" i="8"/>
  <c r="K163" i="8"/>
  <c r="P163" i="8" s="1"/>
  <c r="N162" i="8"/>
  <c r="K162" i="8"/>
  <c r="P162" i="8" s="1"/>
  <c r="N161" i="8"/>
  <c r="K161" i="8"/>
  <c r="P161" i="8" s="1"/>
  <c r="N160" i="8"/>
  <c r="K160" i="8"/>
  <c r="N159" i="8"/>
  <c r="K159" i="8"/>
  <c r="P159" i="8" s="1"/>
  <c r="N158" i="8"/>
  <c r="K158" i="8"/>
  <c r="P158" i="8" s="1"/>
  <c r="N157" i="8"/>
  <c r="K157" i="8"/>
  <c r="P157" i="8" s="1"/>
  <c r="N156" i="8"/>
  <c r="K156" i="8"/>
  <c r="N155" i="8"/>
  <c r="K155" i="8"/>
  <c r="P155" i="8" s="1"/>
  <c r="N154" i="8"/>
  <c r="K154" i="8"/>
  <c r="P154" i="8" s="1"/>
  <c r="N153" i="8"/>
  <c r="K153" i="8"/>
  <c r="P153" i="8" s="1"/>
  <c r="N152" i="8"/>
  <c r="K152" i="8"/>
  <c r="N151" i="8"/>
  <c r="K151" i="8"/>
  <c r="P151" i="8" s="1"/>
  <c r="N150" i="8"/>
  <c r="K150" i="8"/>
  <c r="P150" i="8" s="1"/>
  <c r="N149" i="8"/>
  <c r="K149" i="8"/>
  <c r="P149" i="8" s="1"/>
  <c r="N148" i="8"/>
  <c r="H148" i="8"/>
  <c r="K148" i="8" s="1"/>
  <c r="N147" i="8"/>
  <c r="K147" i="8"/>
  <c r="O147" i="8" s="1"/>
  <c r="N146" i="8"/>
  <c r="H146" i="8"/>
  <c r="K146" i="8" s="1"/>
  <c r="O146" i="8" s="1"/>
  <c r="N145" i="8"/>
  <c r="H145" i="8"/>
  <c r="K145" i="8" s="1"/>
  <c r="P145" i="8" s="1"/>
  <c r="N144" i="8"/>
  <c r="H144" i="8"/>
  <c r="K144" i="8" s="1"/>
  <c r="O144" i="8" s="1"/>
  <c r="N143" i="8"/>
  <c r="K143" i="8"/>
  <c r="P143" i="8" s="1"/>
  <c r="N142" i="8"/>
  <c r="K142" i="8"/>
  <c r="P142" i="8" s="1"/>
  <c r="N141" i="8"/>
  <c r="K141" i="8"/>
  <c r="P141" i="8" s="1"/>
  <c r="N140" i="8"/>
  <c r="K140" i="8"/>
  <c r="N139" i="8"/>
  <c r="K139" i="8"/>
  <c r="P139" i="8" s="1"/>
  <c r="N138" i="8"/>
  <c r="K138" i="8"/>
  <c r="P138" i="8" s="1"/>
  <c r="N137" i="8"/>
  <c r="K137" i="8"/>
  <c r="O137" i="8" s="1"/>
  <c r="N136" i="8"/>
  <c r="K136" i="8"/>
  <c r="N135" i="8"/>
  <c r="K135" i="8"/>
  <c r="P135" i="8" s="1"/>
  <c r="N134" i="8"/>
  <c r="K134" i="8"/>
  <c r="P134" i="8" s="1"/>
  <c r="N133" i="8"/>
  <c r="K133" i="8"/>
  <c r="P133" i="8" s="1"/>
  <c r="N132" i="8"/>
  <c r="K132" i="8"/>
  <c r="N131" i="8"/>
  <c r="K131" i="8"/>
  <c r="P131" i="8" s="1"/>
  <c r="N130" i="8"/>
  <c r="K130" i="8"/>
  <c r="P130" i="8" s="1"/>
  <c r="N129" i="8"/>
  <c r="K129" i="8"/>
  <c r="O129" i="8" s="1"/>
  <c r="N128" i="8"/>
  <c r="K128" i="8"/>
  <c r="N127" i="8"/>
  <c r="K127" i="8"/>
  <c r="P127" i="8" s="1"/>
  <c r="N126" i="8"/>
  <c r="K126" i="8"/>
  <c r="P126" i="8" s="1"/>
  <c r="N125" i="8"/>
  <c r="K125" i="8"/>
  <c r="P125" i="8" s="1"/>
  <c r="N124" i="8"/>
  <c r="K124" i="8"/>
  <c r="N123" i="8"/>
  <c r="K123" i="8"/>
  <c r="P123" i="8" s="1"/>
  <c r="N122" i="8"/>
  <c r="K122" i="8"/>
  <c r="P122" i="8" s="1"/>
  <c r="N121" i="8"/>
  <c r="K121" i="8"/>
  <c r="O121" i="8" s="1"/>
  <c r="N120" i="8"/>
  <c r="H120" i="8"/>
  <c r="K120" i="8" s="1"/>
  <c r="N119" i="8"/>
  <c r="N118" i="8"/>
  <c r="N117" i="8"/>
  <c r="H117" i="8"/>
  <c r="N115" i="8"/>
  <c r="H115" i="8"/>
  <c r="K115" i="8" s="1"/>
  <c r="N114" i="8"/>
  <c r="H114" i="8"/>
  <c r="K114" i="8" s="1"/>
  <c r="N113" i="8"/>
  <c r="H113" i="8"/>
  <c r="K113" i="8" s="1"/>
  <c r="N112" i="8"/>
  <c r="N111" i="8"/>
  <c r="H111" i="8"/>
  <c r="H112" i="8" s="1"/>
  <c r="K112" i="8" s="1"/>
  <c r="P112" i="8" s="1"/>
  <c r="N109" i="8"/>
  <c r="H109" i="8"/>
  <c r="K109" i="8" s="1"/>
  <c r="P109" i="8" s="1"/>
  <c r="N108" i="8"/>
  <c r="H108" i="8"/>
  <c r="K108" i="8" s="1"/>
  <c r="N107" i="8"/>
  <c r="H107" i="8"/>
  <c r="K107" i="8" s="1"/>
  <c r="N106" i="8"/>
  <c r="K106" i="8"/>
  <c r="N104" i="8"/>
  <c r="H104" i="8"/>
  <c r="K104" i="8" s="1"/>
  <c r="P104" i="8" s="1"/>
  <c r="N103" i="8"/>
  <c r="N102" i="8"/>
  <c r="H102" i="8"/>
  <c r="K102" i="8" s="1"/>
  <c r="P102" i="8" s="1"/>
  <c r="N101" i="8"/>
  <c r="N100" i="8"/>
  <c r="H100" i="8"/>
  <c r="K100" i="8" s="1"/>
  <c r="P100" i="8" s="1"/>
  <c r="P99" i="8"/>
  <c r="O99" i="8"/>
  <c r="N99" i="8"/>
  <c r="N98" i="8"/>
  <c r="H98" i="8"/>
  <c r="K98" i="8" s="1"/>
  <c r="N97" i="8"/>
  <c r="H97" i="8"/>
  <c r="K97" i="8" s="1"/>
  <c r="P97" i="8" s="1"/>
  <c r="N96" i="8"/>
  <c r="H96" i="8"/>
  <c r="K96" i="8" s="1"/>
  <c r="O96" i="8" s="1"/>
  <c r="N95" i="8"/>
  <c r="H95" i="8"/>
  <c r="K95" i="8" s="1"/>
  <c r="N94" i="8"/>
  <c r="K94" i="8"/>
  <c r="P94" i="8" s="1"/>
  <c r="N91" i="8"/>
  <c r="J91" i="8"/>
  <c r="K91" i="8" s="1"/>
  <c r="N90" i="8"/>
  <c r="J90" i="8"/>
  <c r="K90" i="8" s="1"/>
  <c r="N89" i="8"/>
  <c r="J89" i="8"/>
  <c r="K89" i="8" s="1"/>
  <c r="N88" i="8"/>
  <c r="J88" i="8"/>
  <c r="K88" i="8" s="1"/>
  <c r="N87" i="8"/>
  <c r="J87" i="8"/>
  <c r="K87" i="8" s="1"/>
  <c r="N86" i="8"/>
  <c r="K86" i="8"/>
  <c r="O86" i="8" s="1"/>
  <c r="N85" i="8"/>
  <c r="H85" i="8"/>
  <c r="K85" i="8" s="1"/>
  <c r="N84" i="8"/>
  <c r="H84" i="8"/>
  <c r="K84" i="8" s="1"/>
  <c r="N83" i="8"/>
  <c r="H83" i="8"/>
  <c r="K83" i="8" s="1"/>
  <c r="N82" i="8"/>
  <c r="H82" i="8"/>
  <c r="K82" i="8" s="1"/>
  <c r="P82" i="8" s="1"/>
  <c r="N81" i="8"/>
  <c r="H81" i="8"/>
  <c r="K81" i="8" s="1"/>
  <c r="N80" i="8"/>
  <c r="H80" i="8"/>
  <c r="K80" i="8" s="1"/>
  <c r="P80" i="8" s="1"/>
  <c r="N79" i="8"/>
  <c r="H79" i="8"/>
  <c r="K79" i="8" s="1"/>
  <c r="O79" i="8" s="1"/>
  <c r="N78" i="8"/>
  <c r="H78" i="8"/>
  <c r="K78" i="8" s="1"/>
  <c r="N77" i="8"/>
  <c r="H77" i="8"/>
  <c r="K77" i="8" s="1"/>
  <c r="O77" i="8" s="1"/>
  <c r="N76" i="8"/>
  <c r="H76" i="8"/>
  <c r="K76" i="8" s="1"/>
  <c r="N75" i="8"/>
  <c r="H75" i="8"/>
  <c r="K75" i="8" s="1"/>
  <c r="O75" i="8" s="1"/>
  <c r="N74" i="8"/>
  <c r="H74" i="8"/>
  <c r="K74" i="8" s="1"/>
  <c r="N73" i="8"/>
  <c r="H73" i="8"/>
  <c r="K73" i="8" s="1"/>
  <c r="O73" i="8" s="1"/>
  <c r="N72" i="8"/>
  <c r="H72" i="8"/>
  <c r="K72" i="8" s="1"/>
  <c r="N71" i="8"/>
  <c r="H71" i="8"/>
  <c r="K71" i="8" s="1"/>
  <c r="O71" i="8" s="1"/>
  <c r="N70" i="8"/>
  <c r="H70" i="8"/>
  <c r="K70" i="8" s="1"/>
  <c r="N69" i="8"/>
  <c r="H69" i="8"/>
  <c r="K69" i="8" s="1"/>
  <c r="O69" i="8" s="1"/>
  <c r="N68" i="8"/>
  <c r="H68" i="8"/>
  <c r="K68" i="8" s="1"/>
  <c r="N67" i="8"/>
  <c r="H67" i="8"/>
  <c r="K67" i="8" s="1"/>
  <c r="O67" i="8" s="1"/>
  <c r="N66" i="8"/>
  <c r="H66" i="8"/>
  <c r="K66" i="8" s="1"/>
  <c r="N65" i="8"/>
  <c r="H65" i="8"/>
  <c r="K65" i="8" s="1"/>
  <c r="O65" i="8" s="1"/>
  <c r="N64" i="8"/>
  <c r="H64" i="8"/>
  <c r="K64" i="8" s="1"/>
  <c r="N63" i="8"/>
  <c r="H63" i="8"/>
  <c r="K63" i="8" s="1"/>
  <c r="O63" i="8" s="1"/>
  <c r="N62" i="8"/>
  <c r="H62" i="8"/>
  <c r="K62" i="8" s="1"/>
  <c r="N61" i="8"/>
  <c r="H61" i="8"/>
  <c r="K61" i="8" s="1"/>
  <c r="O61" i="8" s="1"/>
  <c r="N60" i="8"/>
  <c r="H60" i="8"/>
  <c r="K60" i="8" s="1"/>
  <c r="N59" i="8"/>
  <c r="H59" i="8"/>
  <c r="K59" i="8" s="1"/>
  <c r="O59" i="8" s="1"/>
  <c r="N58" i="8"/>
  <c r="H58" i="8"/>
  <c r="K58" i="8" s="1"/>
  <c r="N57" i="8"/>
  <c r="H57" i="8"/>
  <c r="K57" i="8" s="1"/>
  <c r="O57" i="8" s="1"/>
  <c r="N56" i="8"/>
  <c r="H56" i="8"/>
  <c r="K56" i="8" s="1"/>
  <c r="N55" i="8"/>
  <c r="H55" i="8"/>
  <c r="K55" i="8" s="1"/>
  <c r="O55" i="8" s="1"/>
  <c r="N54" i="8"/>
  <c r="K54" i="8"/>
  <c r="O54" i="8" s="1"/>
  <c r="N52" i="8"/>
  <c r="J52" i="8"/>
  <c r="K52" i="8" s="1"/>
  <c r="P52" i="8" s="1"/>
  <c r="N51" i="8"/>
  <c r="K51" i="8"/>
  <c r="N50" i="8"/>
  <c r="J50" i="8"/>
  <c r="K50" i="8" s="1"/>
  <c r="N49" i="8"/>
  <c r="K49" i="8"/>
  <c r="N47" i="8"/>
  <c r="J47" i="8"/>
  <c r="K47" i="8" s="1"/>
  <c r="N46" i="8"/>
  <c r="K46" i="8"/>
  <c r="O46" i="8" s="1"/>
  <c r="N45" i="8"/>
  <c r="K45" i="8"/>
  <c r="O45" i="8" s="1"/>
  <c r="N44" i="8"/>
  <c r="J44" i="8"/>
  <c r="K44" i="8" s="1"/>
  <c r="O44" i="8" s="1"/>
  <c r="N43" i="8"/>
  <c r="K43" i="8"/>
  <c r="O43" i="8" s="1"/>
  <c r="P41" i="8"/>
  <c r="O41" i="8"/>
  <c r="N41" i="8"/>
  <c r="N40" i="8"/>
  <c r="K40" i="8"/>
  <c r="P40" i="8" s="1"/>
  <c r="N39" i="8"/>
  <c r="N38" i="8"/>
  <c r="N37" i="8"/>
  <c r="H37" i="8"/>
  <c r="N35" i="8"/>
  <c r="H35" i="8"/>
  <c r="K35" i="8" s="1"/>
  <c r="P35" i="8" s="1"/>
  <c r="N34" i="8"/>
  <c r="K34" i="8"/>
  <c r="P34" i="8" s="1"/>
  <c r="N33" i="8"/>
  <c r="K33" i="8"/>
  <c r="P33" i="8" s="1"/>
  <c r="N32" i="8"/>
  <c r="K32" i="8"/>
  <c r="P32" i="8" s="1"/>
  <c r="N30" i="8"/>
  <c r="K30" i="8"/>
  <c r="O30" i="8" s="1"/>
  <c r="H29" i="8"/>
  <c r="K29" i="8" s="1"/>
  <c r="N28" i="8"/>
  <c r="H28" i="8"/>
  <c r="K28" i="8" s="1"/>
  <c r="O28" i="8" s="1"/>
  <c r="N27" i="8"/>
  <c r="K27" i="8"/>
  <c r="N26" i="8"/>
  <c r="K26" i="8"/>
  <c r="P26" i="8" s="1"/>
  <c r="N24" i="8"/>
  <c r="H24" i="8"/>
  <c r="K24" i="8" s="1"/>
  <c r="P24" i="8" s="1"/>
  <c r="N23" i="8"/>
  <c r="N22" i="8"/>
  <c r="H22" i="8"/>
  <c r="K22" i="8" s="1"/>
  <c r="N21" i="8"/>
  <c r="N20" i="8"/>
  <c r="H20" i="8"/>
  <c r="H23" i="8" s="1"/>
  <c r="K23" i="8" s="1"/>
  <c r="P19" i="8"/>
  <c r="O19" i="8"/>
  <c r="N19" i="8"/>
  <c r="N18" i="8"/>
  <c r="H18" i="8"/>
  <c r="K18" i="8" s="1"/>
  <c r="N17" i="8"/>
  <c r="H17" i="8"/>
  <c r="K17" i="8" s="1"/>
  <c r="P17" i="8" s="1"/>
  <c r="N16" i="8"/>
  <c r="K16" i="8"/>
  <c r="N15" i="8"/>
  <c r="H15" i="8"/>
  <c r="K15" i="8" s="1"/>
  <c r="N14" i="8"/>
  <c r="K14" i="8"/>
  <c r="O14" i="8" s="1"/>
  <c r="N195" i="7"/>
  <c r="H118" i="8" l="1"/>
  <c r="K118" i="8" s="1"/>
  <c r="H101" i="8"/>
  <c r="K101" i="8" s="1"/>
  <c r="O101" i="8" s="1"/>
  <c r="H103" i="8"/>
  <c r="K103" i="8" s="1"/>
  <c r="O103" i="8" s="1"/>
  <c r="K39" i="8"/>
  <c r="K38" i="8"/>
  <c r="K111" i="8"/>
  <c r="O111" i="8" s="1"/>
  <c r="K37" i="8"/>
  <c r="P37" i="8" s="1"/>
  <c r="P187" i="8"/>
  <c r="Q187" i="8" s="1"/>
  <c r="P14" i="8"/>
  <c r="Q14" i="8" s="1"/>
  <c r="O80" i="8"/>
  <c r="Q80" i="8" s="1"/>
  <c r="P67" i="8"/>
  <c r="Q67" i="8" s="1"/>
  <c r="P73" i="8"/>
  <c r="Q73" i="8" s="1"/>
  <c r="P96" i="8"/>
  <c r="Q96" i="8" s="1"/>
  <c r="O157" i="8"/>
  <c r="Q157" i="8" s="1"/>
  <c r="O141" i="8"/>
  <c r="Q141" i="8" s="1"/>
  <c r="O154" i="8"/>
  <c r="Q154" i="8" s="1"/>
  <c r="P171" i="8"/>
  <c r="Q171" i="8" s="1"/>
  <c r="O26" i="8"/>
  <c r="O149" i="8"/>
  <c r="Q149" i="8" s="1"/>
  <c r="O165" i="8"/>
  <c r="Q165" i="8" s="1"/>
  <c r="P170" i="8"/>
  <c r="Q170" i="8" s="1"/>
  <c r="P186" i="8"/>
  <c r="Q186" i="8" s="1"/>
  <c r="Q19" i="8"/>
  <c r="Q41" i="8"/>
  <c r="P45" i="8"/>
  <c r="Q45" i="8" s="1"/>
  <c r="O125" i="8"/>
  <c r="Q125" i="8" s="1"/>
  <c r="O162" i="8"/>
  <c r="Q162" i="8" s="1"/>
  <c r="P179" i="8"/>
  <c r="Q179" i="8" s="1"/>
  <c r="P178" i="8"/>
  <c r="Q178" i="8" s="1"/>
  <c r="Q26" i="8"/>
  <c r="P86" i="8"/>
  <c r="Q86" i="8" s="1"/>
  <c r="P129" i="8"/>
  <c r="Q129" i="8" s="1"/>
  <c r="P147" i="8"/>
  <c r="Q147" i="8" s="1"/>
  <c r="O153" i="8"/>
  <c r="Q153" i="8" s="1"/>
  <c r="O161" i="8"/>
  <c r="Q161" i="8" s="1"/>
  <c r="P175" i="8"/>
  <c r="Q175" i="8" s="1"/>
  <c r="P183" i="8"/>
  <c r="Q183" i="8" s="1"/>
  <c r="P57" i="8"/>
  <c r="Q57" i="8" s="1"/>
  <c r="O126" i="8"/>
  <c r="Q126" i="8" s="1"/>
  <c r="P137" i="8"/>
  <c r="Q137" i="8" s="1"/>
  <c r="O142" i="8"/>
  <c r="Q142" i="8" s="1"/>
  <c r="O150" i="8"/>
  <c r="Q150" i="8" s="1"/>
  <c r="O158" i="8"/>
  <c r="Q158" i="8" s="1"/>
  <c r="P174" i="8"/>
  <c r="Q174" i="8" s="1"/>
  <c r="P182" i="8"/>
  <c r="Q182" i="8" s="1"/>
  <c r="P192" i="8"/>
  <c r="Q192" i="8" s="1"/>
  <c r="P15" i="8"/>
  <c r="O15" i="8"/>
  <c r="P90" i="8"/>
  <c r="O90" i="8"/>
  <c r="P22" i="8"/>
  <c r="O22" i="8"/>
  <c r="P87" i="8"/>
  <c r="O87" i="8"/>
  <c r="P50" i="8"/>
  <c r="O50" i="8"/>
  <c r="P54" i="8"/>
  <c r="Q54" i="8" s="1"/>
  <c r="P59" i="8"/>
  <c r="Q59" i="8" s="1"/>
  <c r="P75" i="8"/>
  <c r="Q75" i="8" s="1"/>
  <c r="O82" i="8"/>
  <c r="Q82" i="8" s="1"/>
  <c r="O94" i="8"/>
  <c r="Q94" i="8" s="1"/>
  <c r="O122" i="8"/>
  <c r="Q122" i="8" s="1"/>
  <c r="O138" i="8"/>
  <c r="Q138" i="8" s="1"/>
  <c r="P144" i="8"/>
  <c r="Q144" i="8" s="1"/>
  <c r="O168" i="8"/>
  <c r="Q168" i="8" s="1"/>
  <c r="O17" i="8"/>
  <c r="Q17" i="8" s="1"/>
  <c r="K20" i="8"/>
  <c r="O24" i="8"/>
  <c r="Q24" i="8" s="1"/>
  <c r="O34" i="8"/>
  <c r="Q34" i="8" s="1"/>
  <c r="O35" i="8"/>
  <c r="Q35" i="8" s="1"/>
  <c r="O52" i="8"/>
  <c r="Q52" i="8" s="1"/>
  <c r="P65" i="8"/>
  <c r="Q65" i="8" s="1"/>
  <c r="Q99" i="8"/>
  <c r="P121" i="8"/>
  <c r="Q121" i="8" s="1"/>
  <c r="O133" i="8"/>
  <c r="Q133" i="8" s="1"/>
  <c r="O134" i="8"/>
  <c r="Q134" i="8" s="1"/>
  <c r="O189" i="8"/>
  <c r="Q189" i="8" s="1"/>
  <c r="O197" i="8"/>
  <c r="P43" i="8"/>
  <c r="Q43" i="8" s="1"/>
  <c r="P46" i="8"/>
  <c r="Q46" i="8" s="1"/>
  <c r="O109" i="8"/>
  <c r="Q109" i="8" s="1"/>
  <c r="O130" i="8"/>
  <c r="Q130" i="8" s="1"/>
  <c r="O16" i="8"/>
  <c r="P16" i="8"/>
  <c r="P23" i="8"/>
  <c r="O23" i="8"/>
  <c r="P18" i="8"/>
  <c r="O18" i="8"/>
  <c r="O27" i="8"/>
  <c r="P27" i="8"/>
  <c r="P56" i="8"/>
  <c r="O56" i="8"/>
  <c r="P47" i="8"/>
  <c r="O47" i="8"/>
  <c r="P58" i="8"/>
  <c r="O58" i="8"/>
  <c r="P66" i="8"/>
  <c r="O66" i="8"/>
  <c r="P74" i="8"/>
  <c r="O74" i="8"/>
  <c r="P115" i="8"/>
  <c r="O115" i="8"/>
  <c r="P160" i="8"/>
  <c r="O160" i="8"/>
  <c r="P177" i="8"/>
  <c r="O177" i="8"/>
  <c r="P64" i="8"/>
  <c r="O64" i="8"/>
  <c r="P72" i="8"/>
  <c r="O72" i="8"/>
  <c r="P84" i="8"/>
  <c r="O84" i="8"/>
  <c r="O32" i="8"/>
  <c r="Q32" i="8" s="1"/>
  <c r="P44" i="8"/>
  <c r="Q44" i="8" s="1"/>
  <c r="P60" i="8"/>
  <c r="O60" i="8"/>
  <c r="P61" i="8"/>
  <c r="Q61" i="8" s="1"/>
  <c r="P68" i="8"/>
  <c r="O68" i="8"/>
  <c r="P69" i="8"/>
  <c r="Q69" i="8" s="1"/>
  <c r="P76" i="8"/>
  <c r="O76" i="8"/>
  <c r="P77" i="8"/>
  <c r="Q77" i="8" s="1"/>
  <c r="O83" i="8"/>
  <c r="P83" i="8"/>
  <c r="O85" i="8"/>
  <c r="P85" i="8"/>
  <c r="P88" i="8"/>
  <c r="O88" i="8"/>
  <c r="P95" i="8"/>
  <c r="O95" i="8"/>
  <c r="O98" i="8"/>
  <c r="P98" i="8"/>
  <c r="P108" i="8"/>
  <c r="O108" i="8"/>
  <c r="P114" i="8"/>
  <c r="O114" i="8"/>
  <c r="P120" i="8"/>
  <c r="O120" i="8"/>
  <c r="H21" i="8"/>
  <c r="K21" i="8" s="1"/>
  <c r="P28" i="8"/>
  <c r="Q28" i="8" s="1"/>
  <c r="P30" i="8"/>
  <c r="Q30" i="8" s="1"/>
  <c r="O33" i="8"/>
  <c r="Q33" i="8" s="1"/>
  <c r="O40" i="8"/>
  <c r="Q40" i="8" s="1"/>
  <c r="P49" i="8"/>
  <c r="O49" i="8"/>
  <c r="P51" i="8"/>
  <c r="O51" i="8"/>
  <c r="P55" i="8"/>
  <c r="Q55" i="8" s="1"/>
  <c r="P62" i="8"/>
  <c r="O62" i="8"/>
  <c r="P63" i="8"/>
  <c r="Q63" i="8" s="1"/>
  <c r="P70" i="8"/>
  <c r="O70" i="8"/>
  <c r="P71" i="8"/>
  <c r="Q71" i="8" s="1"/>
  <c r="P78" i="8"/>
  <c r="O78" i="8"/>
  <c r="P79" i="8"/>
  <c r="Q79" i="8" s="1"/>
  <c r="O81" i="8"/>
  <c r="P81" i="8"/>
  <c r="P107" i="8"/>
  <c r="O107" i="8"/>
  <c r="O191" i="8"/>
  <c r="P191" i="8"/>
  <c r="P89" i="8"/>
  <c r="O89" i="8"/>
  <c r="P91" i="8"/>
  <c r="O91" i="8"/>
  <c r="P106" i="8"/>
  <c r="O106" i="8"/>
  <c r="P113" i="8"/>
  <c r="O113" i="8"/>
  <c r="P148" i="8"/>
  <c r="O148" i="8"/>
  <c r="P164" i="8"/>
  <c r="O164" i="8"/>
  <c r="P181" i="8"/>
  <c r="O181" i="8"/>
  <c r="P195" i="8"/>
  <c r="O195" i="8"/>
  <c r="P196" i="8"/>
  <c r="O196" i="8"/>
  <c r="P152" i="8"/>
  <c r="O152" i="8"/>
  <c r="P169" i="8"/>
  <c r="O169" i="8"/>
  <c r="P185" i="8"/>
  <c r="O185" i="8"/>
  <c r="P188" i="8"/>
  <c r="O188" i="8"/>
  <c r="P101" i="8"/>
  <c r="Q101" i="8" s="1"/>
  <c r="O112" i="8"/>
  <c r="Q112" i="8" s="1"/>
  <c r="P124" i="8"/>
  <c r="O124" i="8"/>
  <c r="P128" i="8"/>
  <c r="O128" i="8"/>
  <c r="P132" i="8"/>
  <c r="O132" i="8"/>
  <c r="P136" i="8"/>
  <c r="O136" i="8"/>
  <c r="P140" i="8"/>
  <c r="O140" i="8"/>
  <c r="P146" i="8"/>
  <c r="Q146" i="8" s="1"/>
  <c r="P156" i="8"/>
  <c r="O156" i="8"/>
  <c r="P167" i="8"/>
  <c r="O167" i="8"/>
  <c r="P173" i="8"/>
  <c r="O173" i="8"/>
  <c r="O97" i="8"/>
  <c r="Q97" i="8" s="1"/>
  <c r="O100" i="8"/>
  <c r="Q100" i="8" s="1"/>
  <c r="O102" i="8"/>
  <c r="Q102" i="8" s="1"/>
  <c r="O104" i="8"/>
  <c r="Q104" i="8" s="1"/>
  <c r="H119" i="8"/>
  <c r="K119" i="8" s="1"/>
  <c r="O123" i="8"/>
  <c r="Q123" i="8" s="1"/>
  <c r="O127" i="8"/>
  <c r="Q127" i="8" s="1"/>
  <c r="O131" i="8"/>
  <c r="Q131" i="8" s="1"/>
  <c r="O135" i="8"/>
  <c r="Q135" i="8" s="1"/>
  <c r="O139" i="8"/>
  <c r="Q139" i="8" s="1"/>
  <c r="O143" i="8"/>
  <c r="Q143" i="8" s="1"/>
  <c r="O145" i="8"/>
  <c r="Q145" i="8" s="1"/>
  <c r="O151" i="8"/>
  <c r="Q151" i="8" s="1"/>
  <c r="O155" i="8"/>
  <c r="Q155" i="8" s="1"/>
  <c r="O159" i="8"/>
  <c r="Q159" i="8" s="1"/>
  <c r="O163" i="8"/>
  <c r="Q163" i="8" s="1"/>
  <c r="O166" i="8"/>
  <c r="Q166" i="8" s="1"/>
  <c r="O172" i="8"/>
  <c r="Q172" i="8" s="1"/>
  <c r="O176" i="8"/>
  <c r="Q176" i="8" s="1"/>
  <c r="O180" i="8"/>
  <c r="Q180" i="8" s="1"/>
  <c r="O184" i="8"/>
  <c r="Q184" i="8" s="1"/>
  <c r="O190" i="8"/>
  <c r="Q190" i="8" s="1"/>
  <c r="O193" i="8"/>
  <c r="Q193" i="8" s="1"/>
  <c r="K194" i="8"/>
  <c r="K117" i="8"/>
  <c r="P192" i="7"/>
  <c r="O194" i="7"/>
  <c r="O196" i="7"/>
  <c r="N192" i="7"/>
  <c r="N193" i="7"/>
  <c r="O193" i="7"/>
  <c r="N194" i="7"/>
  <c r="H194" i="7"/>
  <c r="H195" i="7" s="1"/>
  <c r="P195" i="7" s="1"/>
  <c r="O37" i="8" l="1"/>
  <c r="Q37" i="8" s="1"/>
  <c r="P118" i="8"/>
  <c r="O118" i="8"/>
  <c r="P103" i="8"/>
  <c r="Q103" i="8" s="1"/>
  <c r="P39" i="8"/>
  <c r="O39" i="8"/>
  <c r="P111" i="8"/>
  <c r="Q111" i="8" s="1"/>
  <c r="P193" i="7"/>
  <c r="Q193" i="7" s="1"/>
  <c r="Q68" i="8"/>
  <c r="Q88" i="8"/>
  <c r="Q76" i="8"/>
  <c r="Q70" i="8"/>
  <c r="Q62" i="8"/>
  <c r="Q51" i="8"/>
  <c r="Q114" i="8"/>
  <c r="Q60" i="8"/>
  <c r="Q22" i="8"/>
  <c r="Q87" i="8"/>
  <c r="Q90" i="8"/>
  <c r="Q191" i="8"/>
  <c r="Q195" i="8"/>
  <c r="Q164" i="8"/>
  <c r="Q91" i="8"/>
  <c r="Q78" i="8"/>
  <c r="Q84" i="8"/>
  <c r="Q56" i="8"/>
  <c r="Q18" i="8"/>
  <c r="Q50" i="8"/>
  <c r="Q15" i="8"/>
  <c r="Q81" i="8"/>
  <c r="Q177" i="8"/>
  <c r="Q115" i="8"/>
  <c r="Q66" i="8"/>
  <c r="Q47" i="8"/>
  <c r="Q173" i="8"/>
  <c r="Q136" i="8"/>
  <c r="Q128" i="8"/>
  <c r="Q23" i="8"/>
  <c r="Q64" i="8"/>
  <c r="Q160" i="8"/>
  <c r="P20" i="8"/>
  <c r="O20" i="8"/>
  <c r="Q140" i="8"/>
  <c r="Q132" i="8"/>
  <c r="Q124" i="8"/>
  <c r="Q196" i="8"/>
  <c r="Q181" i="8"/>
  <c r="Q148" i="8"/>
  <c r="Q89" i="8"/>
  <c r="Q49" i="8"/>
  <c r="Q120" i="8"/>
  <c r="Q108" i="8"/>
  <c r="Q95" i="8"/>
  <c r="Q72" i="8"/>
  <c r="O192" i="7"/>
  <c r="Q167" i="8"/>
  <c r="Q188" i="8"/>
  <c r="Q169" i="8"/>
  <c r="Q118" i="8"/>
  <c r="Q106" i="8"/>
  <c r="P21" i="8"/>
  <c r="O21" i="8"/>
  <c r="Q98" i="8"/>
  <c r="Q83" i="8"/>
  <c r="Q58" i="8"/>
  <c r="Q27" i="8"/>
  <c r="O194" i="8"/>
  <c r="P194" i="8"/>
  <c r="P38" i="8"/>
  <c r="O38" i="8"/>
  <c r="P117" i="8"/>
  <c r="O117" i="8"/>
  <c r="P119" i="8"/>
  <c r="O119" i="8"/>
  <c r="Q156" i="8"/>
  <c r="Q185" i="8"/>
  <c r="Q152" i="8"/>
  <c r="Q113" i="8"/>
  <c r="Q107" i="8"/>
  <c r="Q85" i="8"/>
  <c r="Q74" i="8"/>
  <c r="Q16" i="8"/>
  <c r="Q192" i="7"/>
  <c r="P194" i="7"/>
  <c r="Q194" i="7" s="1"/>
  <c r="O195" i="7"/>
  <c r="Q195" i="7" s="1"/>
  <c r="P197" i="7"/>
  <c r="O197" i="7"/>
  <c r="N197" i="7"/>
  <c r="P196" i="7"/>
  <c r="N196" i="7"/>
  <c r="Q39" i="8" l="1"/>
  <c r="Q20" i="8"/>
  <c r="Q194" i="8"/>
  <c r="Q119" i="8"/>
  <c r="Q38" i="8"/>
  <c r="Q21" i="8"/>
  <c r="Q117" i="8"/>
  <c r="Q197" i="7"/>
  <c r="Q196" i="7"/>
  <c r="H40" i="7"/>
  <c r="P40" i="7" s="1"/>
  <c r="H190" i="7"/>
  <c r="H188" i="7"/>
  <c r="H168" i="7"/>
  <c r="O168" i="7" s="1"/>
  <c r="H166" i="7"/>
  <c r="P166" i="7" s="1"/>
  <c r="H146" i="7"/>
  <c r="H145" i="7"/>
  <c r="P145" i="7" s="1"/>
  <c r="H144" i="7"/>
  <c r="O144" i="7" s="1"/>
  <c r="H120" i="7"/>
  <c r="H115" i="7"/>
  <c r="P115" i="7" s="1"/>
  <c r="H114" i="7"/>
  <c r="H113" i="7"/>
  <c r="O113" i="7" s="1"/>
  <c r="H109" i="7"/>
  <c r="H108" i="7"/>
  <c r="P108" i="7" s="1"/>
  <c r="H107" i="7"/>
  <c r="O107" i="7" s="1"/>
  <c r="H104" i="7"/>
  <c r="H102" i="7"/>
  <c r="H98" i="7"/>
  <c r="O98" i="7" s="1"/>
  <c r="H97" i="7"/>
  <c r="P97" i="7" s="1"/>
  <c r="H96" i="7"/>
  <c r="O96" i="7" s="1"/>
  <c r="H95" i="7"/>
  <c r="P95" i="7" s="1"/>
  <c r="J90" i="7"/>
  <c r="J89" i="7"/>
  <c r="J88" i="7"/>
  <c r="P88" i="7" s="1"/>
  <c r="J87" i="7"/>
  <c r="H85" i="7"/>
  <c r="H84" i="7"/>
  <c r="H58" i="7"/>
  <c r="P58" i="7" s="1"/>
  <c r="H56" i="7"/>
  <c r="H57" i="7"/>
  <c r="H55" i="7"/>
  <c r="O55" i="7" s="1"/>
  <c r="J52" i="7"/>
  <c r="J51" i="7"/>
  <c r="J50" i="7"/>
  <c r="P50" i="7" s="1"/>
  <c r="J47" i="7"/>
  <c r="P47" i="7" s="1"/>
  <c r="J46" i="7"/>
  <c r="O46" i="7" s="1"/>
  <c r="J45" i="7"/>
  <c r="P45" i="7" s="1"/>
  <c r="H35" i="7"/>
  <c r="P35" i="7" s="1"/>
  <c r="H34" i="7"/>
  <c r="H33" i="7"/>
  <c r="H30" i="7"/>
  <c r="H29" i="7"/>
  <c r="H28" i="7"/>
  <c r="P28" i="7" s="1"/>
  <c r="H27" i="7"/>
  <c r="O27" i="7" s="1"/>
  <c r="H24" i="7"/>
  <c r="H22" i="7"/>
  <c r="P22" i="7" s="1"/>
  <c r="H20" i="7"/>
  <c r="H23" i="7" s="1"/>
  <c r="H18" i="7"/>
  <c r="H17" i="7"/>
  <c r="H16" i="7"/>
  <c r="H15" i="7"/>
  <c r="P15" i="7" s="1"/>
  <c r="H191" i="7"/>
  <c r="O191" i="7" s="1"/>
  <c r="H169" i="7"/>
  <c r="P169" i="7" s="1"/>
  <c r="H83" i="7"/>
  <c r="H82" i="7"/>
  <c r="H81" i="7"/>
  <c r="O81" i="7" s="1"/>
  <c r="H80" i="7"/>
  <c r="H79" i="7"/>
  <c r="O79" i="7" s="1"/>
  <c r="H78" i="7"/>
  <c r="P78" i="7" s="1"/>
  <c r="H77" i="7"/>
  <c r="P77" i="7" s="1"/>
  <c r="H76" i="7"/>
  <c r="P76" i="7" s="1"/>
  <c r="H75" i="7"/>
  <c r="H74" i="7"/>
  <c r="P74" i="7" s="1"/>
  <c r="H73" i="7"/>
  <c r="P73" i="7" s="1"/>
  <c r="H72" i="7"/>
  <c r="H71" i="7"/>
  <c r="H70" i="7"/>
  <c r="P70" i="7" s="1"/>
  <c r="H69" i="7"/>
  <c r="P69" i="7" s="1"/>
  <c r="H68" i="7"/>
  <c r="P68" i="7" s="1"/>
  <c r="H67" i="7"/>
  <c r="H66" i="7"/>
  <c r="P66" i="7" s="1"/>
  <c r="H65" i="7"/>
  <c r="P65" i="7" s="1"/>
  <c r="H64" i="7"/>
  <c r="H63" i="7"/>
  <c r="H62" i="7"/>
  <c r="P62" i="7" s="1"/>
  <c r="H61" i="7"/>
  <c r="P61" i="7" s="1"/>
  <c r="H60" i="7"/>
  <c r="P60" i="7" s="1"/>
  <c r="H59" i="7"/>
  <c r="H148" i="7"/>
  <c r="P148" i="7" s="1"/>
  <c r="N113" i="7"/>
  <c r="N114" i="7"/>
  <c r="N115" i="7"/>
  <c r="H37" i="7"/>
  <c r="H39" i="7" s="1"/>
  <c r="H117" i="7"/>
  <c r="P117" i="7" s="1"/>
  <c r="H111" i="7"/>
  <c r="H112" i="7" s="1"/>
  <c r="N191" i="7"/>
  <c r="N190" i="7"/>
  <c r="N189" i="7"/>
  <c r="P189" i="7"/>
  <c r="N188" i="7"/>
  <c r="N187" i="7"/>
  <c r="O187" i="7"/>
  <c r="N186" i="7"/>
  <c r="N185" i="7"/>
  <c r="P185" i="7"/>
  <c r="N184" i="7"/>
  <c r="P184" i="7"/>
  <c r="N183" i="7"/>
  <c r="O183" i="7"/>
  <c r="N182" i="7"/>
  <c r="N181" i="7"/>
  <c r="P181" i="7"/>
  <c r="N180" i="7"/>
  <c r="P180" i="7"/>
  <c r="N179" i="7"/>
  <c r="O179" i="7"/>
  <c r="N178" i="7"/>
  <c r="N177" i="7"/>
  <c r="P177" i="7"/>
  <c r="N176" i="7"/>
  <c r="P176" i="7"/>
  <c r="N175" i="7"/>
  <c r="O175" i="7"/>
  <c r="N174" i="7"/>
  <c r="N173" i="7"/>
  <c r="O173" i="7"/>
  <c r="N172" i="7"/>
  <c r="P172" i="7"/>
  <c r="N171" i="7"/>
  <c r="O171" i="7"/>
  <c r="N170" i="7"/>
  <c r="N169" i="7"/>
  <c r="N168" i="7"/>
  <c r="N167" i="7"/>
  <c r="O167" i="7"/>
  <c r="N166" i="7"/>
  <c r="N165" i="7"/>
  <c r="N164" i="7"/>
  <c r="P164" i="7"/>
  <c r="N163" i="7"/>
  <c r="P163" i="7"/>
  <c r="N162" i="7"/>
  <c r="O162" i="7"/>
  <c r="N161" i="7"/>
  <c r="N160" i="7"/>
  <c r="P160" i="7"/>
  <c r="N159" i="7"/>
  <c r="P159" i="7"/>
  <c r="N158" i="7"/>
  <c r="O158" i="7"/>
  <c r="N157" i="7"/>
  <c r="N156" i="7"/>
  <c r="P156" i="7"/>
  <c r="N155" i="7"/>
  <c r="P155" i="7"/>
  <c r="N154" i="7"/>
  <c r="O154" i="7"/>
  <c r="N153" i="7"/>
  <c r="N152" i="7"/>
  <c r="P152" i="7"/>
  <c r="N151" i="7"/>
  <c r="P151" i="7"/>
  <c r="N150" i="7"/>
  <c r="O150" i="7"/>
  <c r="N149" i="7"/>
  <c r="N148" i="7"/>
  <c r="N147" i="7"/>
  <c r="O147" i="7"/>
  <c r="N146" i="7"/>
  <c r="N145" i="7"/>
  <c r="N144" i="7"/>
  <c r="N143" i="7"/>
  <c r="P143" i="7"/>
  <c r="N142" i="7"/>
  <c r="P142" i="7"/>
  <c r="N141" i="7"/>
  <c r="O141" i="7"/>
  <c r="N140" i="7"/>
  <c r="N139" i="7"/>
  <c r="P139" i="7"/>
  <c r="N138" i="7"/>
  <c r="P138" i="7"/>
  <c r="N137" i="7"/>
  <c r="O137" i="7"/>
  <c r="N136" i="7"/>
  <c r="N135" i="7"/>
  <c r="P135" i="7"/>
  <c r="N134" i="7"/>
  <c r="P134" i="7"/>
  <c r="N133" i="7"/>
  <c r="O133" i="7"/>
  <c r="N132" i="7"/>
  <c r="N131" i="7"/>
  <c r="P131" i="7"/>
  <c r="N130" i="7"/>
  <c r="P130" i="7"/>
  <c r="N129" i="7"/>
  <c r="O129" i="7"/>
  <c r="N128" i="7"/>
  <c r="N127" i="7"/>
  <c r="P127" i="7"/>
  <c r="N126" i="7"/>
  <c r="P126" i="7"/>
  <c r="N125" i="7"/>
  <c r="O125" i="7"/>
  <c r="N124" i="7"/>
  <c r="N123" i="7"/>
  <c r="P123" i="7"/>
  <c r="N122" i="7"/>
  <c r="P122" i="7"/>
  <c r="N121" i="7"/>
  <c r="O121" i="7"/>
  <c r="N120" i="7"/>
  <c r="N119" i="7"/>
  <c r="N118" i="7"/>
  <c r="N117" i="7"/>
  <c r="N112" i="7"/>
  <c r="N111" i="7"/>
  <c r="N109" i="7"/>
  <c r="N108" i="7"/>
  <c r="N107" i="7"/>
  <c r="N106" i="7"/>
  <c r="P106" i="7"/>
  <c r="N104" i="7"/>
  <c r="N103" i="7"/>
  <c r="N102" i="7"/>
  <c r="N101" i="7"/>
  <c r="N100" i="7"/>
  <c r="H100" i="7"/>
  <c r="P100" i="7" s="1"/>
  <c r="P99" i="7"/>
  <c r="O99" i="7"/>
  <c r="N99" i="7"/>
  <c r="N98" i="7"/>
  <c r="N97" i="7"/>
  <c r="N96" i="7"/>
  <c r="N95" i="7"/>
  <c r="N94" i="7"/>
  <c r="O94" i="7"/>
  <c r="N91" i="7"/>
  <c r="N90" i="7"/>
  <c r="N89" i="7"/>
  <c r="N88" i="7"/>
  <c r="N87" i="7"/>
  <c r="N86" i="7"/>
  <c r="P86" i="7"/>
  <c r="N85" i="7"/>
  <c r="N84" i="7"/>
  <c r="N83" i="7"/>
  <c r="N82" i="7"/>
  <c r="N81" i="7"/>
  <c r="N80" i="7"/>
  <c r="P80" i="7"/>
  <c r="N79" i="7"/>
  <c r="N78" i="7"/>
  <c r="N77" i="7"/>
  <c r="N76" i="7"/>
  <c r="N75" i="7"/>
  <c r="N74" i="7"/>
  <c r="N73" i="7"/>
  <c r="N72" i="7"/>
  <c r="P72" i="7"/>
  <c r="N71" i="7"/>
  <c r="N70" i="7"/>
  <c r="N69" i="7"/>
  <c r="N68" i="7"/>
  <c r="N67" i="7"/>
  <c r="N66" i="7"/>
  <c r="N65" i="7"/>
  <c r="N64" i="7"/>
  <c r="O64" i="7"/>
  <c r="N63" i="7"/>
  <c r="N62" i="7"/>
  <c r="N61" i="7"/>
  <c r="N60" i="7"/>
  <c r="N59" i="7"/>
  <c r="N58" i="7"/>
  <c r="N57" i="7"/>
  <c r="N56" i="7"/>
  <c r="P56" i="7"/>
  <c r="N55" i="7"/>
  <c r="N54" i="7"/>
  <c r="P54" i="7"/>
  <c r="N52" i="7"/>
  <c r="N51" i="7"/>
  <c r="N50" i="7"/>
  <c r="N49" i="7"/>
  <c r="N47" i="7"/>
  <c r="N46" i="7"/>
  <c r="N45" i="7"/>
  <c r="N44" i="7"/>
  <c r="J44" i="7"/>
  <c r="O44" i="7" s="1"/>
  <c r="N43" i="7"/>
  <c r="P43" i="7"/>
  <c r="P41" i="7"/>
  <c r="O41" i="7"/>
  <c r="N41" i="7"/>
  <c r="N40" i="7"/>
  <c r="N39" i="7"/>
  <c r="N38" i="7"/>
  <c r="N37" i="7"/>
  <c r="N35" i="7"/>
  <c r="N34" i="7"/>
  <c r="N33" i="7"/>
  <c r="N32" i="7"/>
  <c r="N30" i="7"/>
  <c r="P30" i="7"/>
  <c r="N28" i="7"/>
  <c r="N27" i="7"/>
  <c r="N26" i="7"/>
  <c r="P26" i="7"/>
  <c r="N24" i="7"/>
  <c r="P24" i="7"/>
  <c r="N23" i="7"/>
  <c r="N22" i="7"/>
  <c r="N21" i="7"/>
  <c r="N20" i="7"/>
  <c r="P19" i="7"/>
  <c r="O19" i="7"/>
  <c r="N19" i="7"/>
  <c r="N18" i="7"/>
  <c r="N17" i="7"/>
  <c r="P17" i="7"/>
  <c r="N16" i="7"/>
  <c r="N15" i="7"/>
  <c r="N14" i="7"/>
  <c r="Q203" i="8" l="1"/>
  <c r="P20" i="7"/>
  <c r="P188" i="7"/>
  <c r="O57" i="7"/>
  <c r="P162" i="7"/>
  <c r="Q162" i="7" s="1"/>
  <c r="O176" i="7"/>
  <c r="Q176" i="7" s="1"/>
  <c r="P111" i="7"/>
  <c r="H38" i="7"/>
  <c r="P38" i="7" s="1"/>
  <c r="O177" i="7"/>
  <c r="Q177" i="7" s="1"/>
  <c r="P133" i="7"/>
  <c r="Q133" i="7" s="1"/>
  <c r="O159" i="7"/>
  <c r="Q159" i="7" s="1"/>
  <c r="P37" i="7"/>
  <c r="O156" i="7"/>
  <c r="Q156" i="7" s="1"/>
  <c r="H21" i="7"/>
  <c r="P52" i="7"/>
  <c r="O52" i="7"/>
  <c r="Q19" i="7"/>
  <c r="O24" i="7"/>
  <c r="Q24" i="7" s="1"/>
  <c r="P121" i="7"/>
  <c r="Q121" i="7" s="1"/>
  <c r="P137" i="7"/>
  <c r="Q137" i="7" s="1"/>
  <c r="O155" i="7"/>
  <c r="Q155" i="7" s="1"/>
  <c r="P158" i="7"/>
  <c r="Q158" i="7" s="1"/>
  <c r="P167" i="7"/>
  <c r="Q167" i="7" s="1"/>
  <c r="O185" i="7"/>
  <c r="Q185" i="7" s="1"/>
  <c r="P81" i="7"/>
  <c r="Q81" i="7" s="1"/>
  <c r="O131" i="7"/>
  <c r="Q131" i="7" s="1"/>
  <c r="O134" i="7"/>
  <c r="Q134" i="7" s="1"/>
  <c r="O184" i="7"/>
  <c r="Q184" i="7" s="1"/>
  <c r="P114" i="7"/>
  <c r="O114" i="7"/>
  <c r="P102" i="7"/>
  <c r="O102" i="7"/>
  <c r="O73" i="7"/>
  <c r="Q73" i="7" s="1"/>
  <c r="Q99" i="7"/>
  <c r="O127" i="7"/>
  <c r="Q127" i="7" s="1"/>
  <c r="O130" i="7"/>
  <c r="Q130" i="7" s="1"/>
  <c r="O143" i="7"/>
  <c r="Q143" i="7" s="1"/>
  <c r="O152" i="7"/>
  <c r="O115" i="7"/>
  <c r="Q115" i="7" s="1"/>
  <c r="H103" i="7"/>
  <c r="P103" i="7" s="1"/>
  <c r="O17" i="7"/>
  <c r="Q17" i="7" s="1"/>
  <c r="O72" i="7"/>
  <c r="Q72" i="7" s="1"/>
  <c r="O123" i="7"/>
  <c r="Q123" i="7" s="1"/>
  <c r="O126" i="7"/>
  <c r="Q126" i="7" s="1"/>
  <c r="P129" i="7"/>
  <c r="Q129" i="7" s="1"/>
  <c r="O139" i="7"/>
  <c r="Q139" i="7" s="1"/>
  <c r="O142" i="7"/>
  <c r="Q142" i="7" s="1"/>
  <c r="O151" i="7"/>
  <c r="Q151" i="7" s="1"/>
  <c r="P154" i="7"/>
  <c r="Q154" i="7" s="1"/>
  <c r="O164" i="7"/>
  <c r="Q164" i="7" s="1"/>
  <c r="P173" i="7"/>
  <c r="Q173" i="7" s="1"/>
  <c r="O181" i="7"/>
  <c r="Q181" i="7" s="1"/>
  <c r="O189" i="7"/>
  <c r="Q189" i="7" s="1"/>
  <c r="P113" i="7"/>
  <c r="Q113" i="7" s="1"/>
  <c r="H118" i="7"/>
  <c r="P118" i="7" s="1"/>
  <c r="O122" i="7"/>
  <c r="Q122" i="7" s="1"/>
  <c r="P125" i="7"/>
  <c r="Q125" i="7" s="1"/>
  <c r="O135" i="7"/>
  <c r="Q135" i="7" s="1"/>
  <c r="O138" i="7"/>
  <c r="Q138" i="7" s="1"/>
  <c r="P141" i="7"/>
  <c r="Q141" i="7" s="1"/>
  <c r="P150" i="7"/>
  <c r="Q150" i="7" s="1"/>
  <c r="O160" i="7"/>
  <c r="Q160" i="7" s="1"/>
  <c r="O163" i="7"/>
  <c r="Q163" i="7" s="1"/>
  <c r="O180" i="7"/>
  <c r="Q180" i="7" s="1"/>
  <c r="H101" i="7"/>
  <c r="O101" i="7" s="1"/>
  <c r="H119" i="7"/>
  <c r="O145" i="7"/>
  <c r="Q145" i="7" s="1"/>
  <c r="O86" i="7"/>
  <c r="Q86" i="7" s="1"/>
  <c r="P64" i="7"/>
  <c r="Q64" i="7" s="1"/>
  <c r="O69" i="7"/>
  <c r="Q69" i="7" s="1"/>
  <c r="O68" i="7"/>
  <c r="Q68" i="7" s="1"/>
  <c r="P90" i="7"/>
  <c r="O90" i="7"/>
  <c r="O169" i="7"/>
  <c r="Q169" i="7" s="1"/>
  <c r="P147" i="7"/>
  <c r="Q147" i="7" s="1"/>
  <c r="O148" i="7"/>
  <c r="Q148" i="7" s="1"/>
  <c r="O117" i="7"/>
  <c r="Q117" i="7" s="1"/>
  <c r="O40" i="7"/>
  <c r="Q40" i="7" s="1"/>
  <c r="P44" i="7"/>
  <c r="Q44" i="7" s="1"/>
  <c r="P55" i="7"/>
  <c r="Q55" i="7" s="1"/>
  <c r="O65" i="7"/>
  <c r="Q65" i="7" s="1"/>
  <c r="O95" i="7"/>
  <c r="Q95" i="7" s="1"/>
  <c r="P98" i="7"/>
  <c r="Q98" i="7" s="1"/>
  <c r="O60" i="7"/>
  <c r="Q60" i="7" s="1"/>
  <c r="O61" i="7"/>
  <c r="Q61" i="7" s="1"/>
  <c r="O76" i="7"/>
  <c r="Q76" i="7" s="1"/>
  <c r="O77" i="7"/>
  <c r="Q77" i="7" s="1"/>
  <c r="O88" i="7"/>
  <c r="Q88" i="7" s="1"/>
  <c r="P94" i="7"/>
  <c r="Q94" i="7" s="1"/>
  <c r="O97" i="7"/>
  <c r="Q97" i="7" s="1"/>
  <c r="O172" i="7"/>
  <c r="Q172" i="7" s="1"/>
  <c r="P175" i="7"/>
  <c r="Q175" i="7" s="1"/>
  <c r="P179" i="7"/>
  <c r="Q179" i="7" s="1"/>
  <c r="P183" i="7"/>
  <c r="Q183" i="7" s="1"/>
  <c r="P187" i="7"/>
  <c r="Q187" i="7" s="1"/>
  <c r="P191" i="7"/>
  <c r="Q191" i="7" s="1"/>
  <c r="O15" i="7"/>
  <c r="Q15" i="7" s="1"/>
  <c r="P23" i="7"/>
  <c r="Q41" i="7"/>
  <c r="O100" i="7"/>
  <c r="Q100" i="7" s="1"/>
  <c r="P107" i="7"/>
  <c r="Q107" i="7" s="1"/>
  <c r="P171" i="7"/>
  <c r="Q171" i="7" s="1"/>
  <c r="P14" i="7"/>
  <c r="O14" i="7"/>
  <c r="O85" i="7"/>
  <c r="P85" i="7"/>
  <c r="P51" i="7"/>
  <c r="O51" i="7"/>
  <c r="P104" i="7"/>
  <c r="O104" i="7"/>
  <c r="P18" i="7"/>
  <c r="O18" i="7"/>
  <c r="O22" i="7"/>
  <c r="Q22" i="7" s="1"/>
  <c r="P27" i="7"/>
  <c r="Q27" i="7" s="1"/>
  <c r="P46" i="7"/>
  <c r="Q46" i="7" s="1"/>
  <c r="P49" i="7"/>
  <c r="O49" i="7"/>
  <c r="P59" i="7"/>
  <c r="O59" i="7"/>
  <c r="P63" i="7"/>
  <c r="O63" i="7"/>
  <c r="P67" i="7"/>
  <c r="O67" i="7"/>
  <c r="P71" i="7"/>
  <c r="O71" i="7"/>
  <c r="P75" i="7"/>
  <c r="O75" i="7"/>
  <c r="P82" i="7"/>
  <c r="O82" i="7"/>
  <c r="P84" i="7"/>
  <c r="O84" i="7"/>
  <c r="P96" i="7"/>
  <c r="Q96" i="7" s="1"/>
  <c r="O83" i="7"/>
  <c r="P83" i="7"/>
  <c r="P16" i="7"/>
  <c r="O16" i="7"/>
  <c r="O20" i="7"/>
  <c r="Q20" i="7" s="1"/>
  <c r="P39" i="7"/>
  <c r="O39" i="7"/>
  <c r="O50" i="7"/>
  <c r="Q50" i="7" s="1"/>
  <c r="O26" i="7"/>
  <c r="Q26" i="7" s="1"/>
  <c r="O28" i="7"/>
  <c r="Q28" i="7" s="1"/>
  <c r="O30" i="7"/>
  <c r="Q30" i="7" s="1"/>
  <c r="O35" i="7"/>
  <c r="Q35" i="7" s="1"/>
  <c r="O43" i="7"/>
  <c r="Q43" i="7" s="1"/>
  <c r="O45" i="7"/>
  <c r="Q45" i="7" s="1"/>
  <c r="O47" i="7"/>
  <c r="Q47" i="7" s="1"/>
  <c r="O54" i="7"/>
  <c r="Q54" i="7" s="1"/>
  <c r="O56" i="7"/>
  <c r="Q56" i="7" s="1"/>
  <c r="O58" i="7"/>
  <c r="Q58" i="7" s="1"/>
  <c r="O62" i="7"/>
  <c r="Q62" i="7" s="1"/>
  <c r="O66" i="7"/>
  <c r="Q66" i="7" s="1"/>
  <c r="O70" i="7"/>
  <c r="Q70" i="7" s="1"/>
  <c r="O74" i="7"/>
  <c r="Q74" i="7" s="1"/>
  <c r="O78" i="7"/>
  <c r="Q78" i="7" s="1"/>
  <c r="P79" i="7"/>
  <c r="Q79" i="7" s="1"/>
  <c r="O80" i="7"/>
  <c r="Q80" i="7" s="1"/>
  <c r="P120" i="7"/>
  <c r="O120" i="7"/>
  <c r="P136" i="7"/>
  <c r="O136" i="7"/>
  <c r="P144" i="7"/>
  <c r="Q144" i="7" s="1"/>
  <c r="P149" i="7"/>
  <c r="O149" i="7"/>
  <c r="Q152" i="7"/>
  <c r="P165" i="7"/>
  <c r="O165" i="7"/>
  <c r="P168" i="7"/>
  <c r="Q168" i="7" s="1"/>
  <c r="P186" i="7"/>
  <c r="O186" i="7"/>
  <c r="P132" i="7"/>
  <c r="O132" i="7"/>
  <c r="P161" i="7"/>
  <c r="O161" i="7"/>
  <c r="P182" i="7"/>
  <c r="O182" i="7"/>
  <c r="P112" i="7"/>
  <c r="O112" i="7"/>
  <c r="P124" i="7"/>
  <c r="O124" i="7"/>
  <c r="P140" i="7"/>
  <c r="O140" i="7"/>
  <c r="P153" i="7"/>
  <c r="O153" i="7"/>
  <c r="O166" i="7"/>
  <c r="Q166" i="7" s="1"/>
  <c r="P170" i="7"/>
  <c r="O170" i="7"/>
  <c r="P174" i="7"/>
  <c r="O174" i="7"/>
  <c r="P190" i="7"/>
  <c r="O190" i="7"/>
  <c r="P87" i="7"/>
  <c r="O87" i="7"/>
  <c r="P89" i="7"/>
  <c r="O89" i="7"/>
  <c r="P91" i="7"/>
  <c r="O91" i="7"/>
  <c r="P109" i="7"/>
  <c r="O109" i="7"/>
  <c r="P128" i="7"/>
  <c r="O128" i="7"/>
  <c r="P146" i="7"/>
  <c r="O146" i="7"/>
  <c r="P157" i="7"/>
  <c r="O157" i="7"/>
  <c r="P178" i="7"/>
  <c r="O178" i="7"/>
  <c r="O106" i="7"/>
  <c r="Q106" i="7" s="1"/>
  <c r="O108" i="7"/>
  <c r="Q108" i="7" s="1"/>
  <c r="O188" i="7" l="1"/>
  <c r="P57" i="7"/>
  <c r="O37" i="7"/>
  <c r="Q37" i="7" s="1"/>
  <c r="O38" i="7"/>
  <c r="Q38" i="7" s="1"/>
  <c r="O118" i="7"/>
  <c r="Q118" i="7" s="1"/>
  <c r="Q90" i="7"/>
  <c r="Q188" i="7"/>
  <c r="O111" i="7"/>
  <c r="Q111" i="7" s="1"/>
  <c r="Q102" i="7"/>
  <c r="P21" i="7"/>
  <c r="O21" i="7"/>
  <c r="Q57" i="7"/>
  <c r="P101" i="7"/>
  <c r="Q101" i="7" s="1"/>
  <c r="O103" i="7"/>
  <c r="Q103" i="7" s="1"/>
  <c r="Q52" i="7"/>
  <c r="Q87" i="7"/>
  <c r="Q114" i="7"/>
  <c r="P119" i="7"/>
  <c r="O119" i="7"/>
  <c r="Q83" i="7"/>
  <c r="O23" i="7"/>
  <c r="Q23" i="7" s="1"/>
  <c r="Q146" i="7"/>
  <c r="Q71" i="7"/>
  <c r="Q63" i="7"/>
  <c r="Q51" i="7"/>
  <c r="Q14" i="7"/>
  <c r="Q91" i="7"/>
  <c r="Q39" i="7"/>
  <c r="Q157" i="7"/>
  <c r="Q109" i="7"/>
  <c r="Q89" i="7"/>
  <c r="Q190" i="7"/>
  <c r="Q174" i="7"/>
  <c r="Q153" i="7"/>
  <c r="Q140" i="7"/>
  <c r="Q124" i="7"/>
  <c r="Q165" i="7"/>
  <c r="Q149" i="7"/>
  <c r="Q75" i="7"/>
  <c r="Q67" i="7"/>
  <c r="Q18" i="7"/>
  <c r="Q112" i="7"/>
  <c r="Q178" i="7"/>
  <c r="Q128" i="7"/>
  <c r="Q182" i="7"/>
  <c r="Q132" i="7"/>
  <c r="Q136" i="7"/>
  <c r="Q120" i="7"/>
  <c r="Q16" i="7"/>
  <c r="Q84" i="7"/>
  <c r="Q59" i="7"/>
  <c r="Q49" i="7"/>
  <c r="O32" i="7"/>
  <c r="P32" i="7"/>
  <c r="Q170" i="7"/>
  <c r="Q161" i="7"/>
  <c r="Q186" i="7"/>
  <c r="O34" i="7"/>
  <c r="P34" i="7"/>
  <c r="Q82" i="7"/>
  <c r="P33" i="7"/>
  <c r="O33" i="7"/>
  <c r="Q104" i="7"/>
  <c r="Q85" i="7"/>
  <c r="Q21" i="7" l="1"/>
  <c r="Q119" i="7"/>
  <c r="Q33" i="7"/>
  <c r="Q32" i="7"/>
  <c r="Q34" i="7"/>
  <c r="Q202" i="7" l="1"/>
  <c r="Q203" i="7" s="1"/>
</calcChain>
</file>

<file path=xl/sharedStrings.xml><?xml version="1.0" encoding="utf-8"?>
<sst xmlns="http://schemas.openxmlformats.org/spreadsheetml/2006/main" count="2248" uniqueCount="416">
  <si>
    <t>Ведомость договорной цены № 1</t>
  </si>
  <si>
    <r>
      <rPr>
        <b/>
        <sz val="12"/>
        <color theme="1"/>
        <rFont val="Times New Roman"/>
        <family val="1"/>
        <charset val="204"/>
      </rPr>
      <t>на выполнение комплекса работ</t>
    </r>
    <r>
      <rPr>
        <i/>
        <sz val="12"/>
        <color theme="1"/>
        <rFont val="Times New Roman"/>
        <family val="1"/>
        <charset val="204"/>
      </rPr>
      <t xml:space="preserve"> по кладке стен и перегородок</t>
    </r>
  </si>
  <si>
    <t>Номер п/п</t>
  </si>
  <si>
    <t>Код</t>
  </si>
  <si>
    <t>Наименование  затрат</t>
  </si>
  <si>
    <t>Примечание</t>
  </si>
  <si>
    <t>Ед. изм.</t>
  </si>
  <si>
    <t>Цена, руб. в т.ч.  НДС</t>
  </si>
  <si>
    <t>Цена, руб.в т.ч  НДС</t>
  </si>
  <si>
    <t>Стоимость, руб. в т.ч. НДС</t>
  </si>
  <si>
    <t>Общая стоимость,
руб. в т.ч. НДС</t>
  </si>
  <si>
    <t>Материалы/ оборудование</t>
  </si>
  <si>
    <t>СМР, ПНР</t>
  </si>
  <si>
    <t xml:space="preserve">Приложение №       </t>
  </si>
  <si>
    <t xml:space="preserve">к договору субподряда №                      от                                      </t>
  </si>
  <si>
    <t>1</t>
  </si>
  <si>
    <t>1.1</t>
  </si>
  <si>
    <t>договорная цена</t>
  </si>
  <si>
    <t>м3</t>
  </si>
  <si>
    <t>шт.</t>
  </si>
  <si>
    <t>м2</t>
  </si>
  <si>
    <t>тн</t>
  </si>
  <si>
    <t>4.1</t>
  </si>
  <si>
    <t>кг</t>
  </si>
  <si>
    <t>Общая стоимость работ</t>
  </si>
  <si>
    <t>Примечание:</t>
  </si>
  <si>
    <t>в т.ч. НДС 22%</t>
  </si>
  <si>
    <t>на объекте: "Жилой дом со встроенными помещениями общественного назначения и подземным паркингом по улице Машинистов в Железнодорожном районе г. Екатеринбург"</t>
  </si>
  <si>
    <t>2.2.</t>
  </si>
  <si>
    <t>Секция1</t>
  </si>
  <si>
    <t>Секция2</t>
  </si>
  <si>
    <t>Норма Расхода</t>
  </si>
  <si>
    <t>Паркинг</t>
  </si>
  <si>
    <t>Всего кол-во</t>
  </si>
  <si>
    <t xml:space="preserve">  Планка 200х50х6</t>
  </si>
  <si>
    <t>ПРв-1.1</t>
  </si>
  <si>
    <t>ПРв-1.2</t>
  </si>
  <si>
    <t>ПРв-1.3</t>
  </si>
  <si>
    <t>ПРв-1.4</t>
  </si>
  <si>
    <t>ПРв-1.5</t>
  </si>
  <si>
    <t>ПРв-1.6</t>
  </si>
  <si>
    <t>ПРв-1.7</t>
  </si>
  <si>
    <t>ПРв-1.8</t>
  </si>
  <si>
    <t>ПРв-1.9</t>
  </si>
  <si>
    <t>ПРв-1.10</t>
  </si>
  <si>
    <t>2.1.</t>
  </si>
  <si>
    <t>2.3.</t>
  </si>
  <si>
    <t>2.4.</t>
  </si>
  <si>
    <t>Устройство наружных стен   t= 200мм.</t>
  </si>
  <si>
    <t>Устройство внутренних стен    t= 200мм.</t>
  </si>
  <si>
    <t xml:space="preserve"> Устройство перегородок   t= 80мм.</t>
  </si>
  <si>
    <t>Устройство  перегородок  из кирпича   t= 120мм.</t>
  </si>
  <si>
    <t>ПР-1.3</t>
  </si>
  <si>
    <t>ПР-5</t>
  </si>
  <si>
    <t>ПР-1</t>
  </si>
  <si>
    <t>Раствор цементно-песчаный М100</t>
  </si>
  <si>
    <t>уголок L75x6 L=1400</t>
  </si>
  <si>
    <t>Уголок L100x7 L=2720</t>
  </si>
  <si>
    <t xml:space="preserve">Блок I /625*200*250/D600/B2,5/F100   стеновой из ячеистого 
бетона автоклавного твердения
</t>
  </si>
  <si>
    <t>уголок  L75x6 L=1500</t>
  </si>
  <si>
    <t xml:space="preserve">Устройство  стен  и перегородок  выше отм. 0.00 </t>
  </si>
  <si>
    <t xml:space="preserve">  Планка 50х6 L=200мм</t>
  </si>
  <si>
    <t>Монтаж перемычек ниже отм. 0.00</t>
  </si>
  <si>
    <t>3.1.</t>
  </si>
  <si>
    <t>3.2.</t>
  </si>
  <si>
    <t>Арматура А500 d=12</t>
  </si>
  <si>
    <t>Жилые секции</t>
  </si>
  <si>
    <t>Устройство  стен  и перегородок  ниже отм. 0.00</t>
  </si>
  <si>
    <t>Устройство внутренних стен    t= 200мм. (подвал отм. -7.200)</t>
  </si>
  <si>
    <t>3.3.</t>
  </si>
  <si>
    <t>1.2</t>
  </si>
  <si>
    <t>1.3</t>
  </si>
  <si>
    <t>1.4</t>
  </si>
  <si>
    <t>3.4.</t>
  </si>
  <si>
    <t>4.2</t>
  </si>
  <si>
    <t>4.3</t>
  </si>
  <si>
    <t>5.1</t>
  </si>
  <si>
    <t>5.2</t>
  </si>
  <si>
    <t>5.3</t>
  </si>
  <si>
    <t>5.4</t>
  </si>
  <si>
    <t>6</t>
  </si>
  <si>
    <t>6.1</t>
  </si>
  <si>
    <t>6.2</t>
  </si>
  <si>
    <t>6.3</t>
  </si>
  <si>
    <t>6.4</t>
  </si>
  <si>
    <t>7</t>
  </si>
  <si>
    <t>7.1</t>
  </si>
  <si>
    <t>7.2</t>
  </si>
  <si>
    <t>7.3</t>
  </si>
  <si>
    <t>7.4</t>
  </si>
  <si>
    <t>8</t>
  </si>
  <si>
    <t>8.1</t>
  </si>
  <si>
    <t>8.2</t>
  </si>
  <si>
    <t>8.3</t>
  </si>
  <si>
    <t>8.4</t>
  </si>
  <si>
    <t>9</t>
  </si>
  <si>
    <t>9.1</t>
  </si>
  <si>
    <t>9.2</t>
  </si>
  <si>
    <t>9.3</t>
  </si>
  <si>
    <t>9.4</t>
  </si>
  <si>
    <t>9.5</t>
  </si>
  <si>
    <t>10.1</t>
  </si>
  <si>
    <t>10.2</t>
  </si>
  <si>
    <t>10.3</t>
  </si>
  <si>
    <t>10.4</t>
  </si>
  <si>
    <t>11</t>
  </si>
  <si>
    <t>11.1</t>
  </si>
  <si>
    <t>11.2</t>
  </si>
  <si>
    <t>11.3</t>
  </si>
  <si>
    <t>11.4</t>
  </si>
  <si>
    <t>12.1</t>
  </si>
  <si>
    <t>12.2</t>
  </si>
  <si>
    <t>12.3</t>
  </si>
  <si>
    <t>13</t>
  </si>
  <si>
    <t>13.1</t>
  </si>
  <si>
    <t>13.2</t>
  </si>
  <si>
    <t>13.3</t>
  </si>
  <si>
    <t>13.4</t>
  </si>
  <si>
    <t>14</t>
  </si>
  <si>
    <t>14.3</t>
  </si>
  <si>
    <t>14.4</t>
  </si>
  <si>
    <t xml:space="preserve">Блок I /625*200*250/D600/B2,5/F100   стеновой из ячеистого бетона автоклавного твердения
</t>
  </si>
  <si>
    <t>Стоимость работ включает в себя все расходные материалы и сопутствующие работы, необходимые для выполнения полного комплекса работ по устройству кладки (см. Примечание 1)</t>
  </si>
  <si>
    <t>Стоимость работ включает в себя следующие позиции:</t>
  </si>
  <si>
    <t>1. Все сопутствующие работы, необходимые для выполнения полного комплекса работ по устройству кладки</t>
  </si>
  <si>
    <t>2. Материалы</t>
  </si>
  <si>
    <t>- Арматурные стержни;</t>
  </si>
  <si>
    <t>- Арматурные анкера;</t>
  </si>
  <si>
    <t>- Лента перфорированная;</t>
  </si>
  <si>
    <t>- Эмаль ПФ-115</t>
  </si>
  <si>
    <t>- Грунтовка ГФ-021;</t>
  </si>
  <si>
    <t>- Шнур тира "Вилатерм";</t>
  </si>
  <si>
    <t>- Прямой подвес Knauf 200 мм;</t>
  </si>
  <si>
    <t>- Морозостойкий герметик;</t>
  </si>
  <si>
    <t>- Звукоизоляционная прокладка "Пенотерм" 5мм;</t>
  </si>
  <si>
    <t>- Прямой подвес Knauf;</t>
  </si>
  <si>
    <t>- Пистолетный дюбель-гвоздь;</t>
  </si>
  <si>
    <t>- Скоба С1 по типу Knauf;</t>
  </si>
  <si>
    <t>- Негорючая минвата плотностью 30-40 кг/м3;</t>
  </si>
  <si>
    <t>-Минвата плотностью не менее 35 кг/м3;</t>
  </si>
  <si>
    <t>- Тарельчатые дюбеля;</t>
  </si>
  <si>
    <t>- Дюбель пропиленовый 6х60мм;</t>
  </si>
  <si>
    <t>- Компенсатор из оцинкованной стали t=0,5мм (Компенсаторы металлические W-образные для деф.швов К50, оцинк.сталь);</t>
  </si>
  <si>
    <t>- Анкер Hilti HAS M6  или аналог;</t>
  </si>
  <si>
    <t>- Металлический распорный анкер L=60мм</t>
  </si>
  <si>
    <t>- Лента перфорированная 30х1,5 оцинкованная (замена монтажной детали МД-1, МД-2);</t>
  </si>
  <si>
    <t>- Монтажная пена с пределом огнестойкости не менее EI60;</t>
  </si>
  <si>
    <t>И другие материалы необходимые для выполнения полного комлекса работ по устройству кладки.</t>
  </si>
  <si>
    <t>3. Расходные материалы и оборудование</t>
  </si>
  <si>
    <t>- Газ (пропан) газовое оборудование;</t>
  </si>
  <si>
    <t>- Электроды;</t>
  </si>
  <si>
    <t>- Буры по бетону, диски отрезные;</t>
  </si>
  <si>
    <t>- Подмости для каменщиков;</t>
  </si>
  <si>
    <t>- Мастерки, уровень, отвесы, шнуры, рулетки, ведра, лопаты, удлинители и т.д.;</t>
  </si>
  <si>
    <t>- Банки под раствор;</t>
  </si>
  <si>
    <t>- Доставка и разгрузка материалов.</t>
  </si>
  <si>
    <t>И другие расходные материалы и оборудование, необходимые для выполнения полного комлекса работ по устройству кладки.</t>
  </si>
  <si>
    <t>4. Машины и механизмы</t>
  </si>
  <si>
    <t>- Автокраны;</t>
  </si>
  <si>
    <t>- Погрузчики;</t>
  </si>
  <si>
    <t>И другие машины и механизмы, необходимые для выполнения полного комплекса работ по устройству кладки.</t>
  </si>
  <si>
    <t>Подрядчик на момент предоставления коммерческого предложения ознакомился с нормами расхода на материалы и претензий не имеет.</t>
  </si>
  <si>
    <t>Устройство наружных стен t= 200мм. (цоколь отм. -4.500)</t>
  </si>
  <si>
    <t>Устройство внутренних стен  t= 200мм. (цоколь отм. -4.500)</t>
  </si>
  <si>
    <t>Монтаж перемычек   отм. -4.500 (цоколь, паркинг)</t>
  </si>
  <si>
    <t>0.1.4.3.2.1</t>
  </si>
  <si>
    <t>2. Стоимость основных материалов включает в себя: стоимость материалов, упаковку, тару, транспортные расходы на доставку материалов на площадку складирования и к месту монтажа, заготовительно-складские расходы.</t>
  </si>
  <si>
    <t>3. Работы подлежат приемке и оплате выполненные полностью в объеме Единицы Приемки (ЕП), т.е. ЕП это этап работ, состоящий из группы технологических операций (группы единичных видов работ), который необходимо выполнить в полном объеме, чтобы произвести сдачу-приемку работ и предъявить его к оплате, т.е. выполнить все технологические операции (все единичные виды работ) входящие в состав ЕП.</t>
  </si>
  <si>
    <t>4. Сумма калькуляции конечная, изменению не подлежит. Все доп. работы, возникающие в процессе работ, не зависящие от изменения проекта, подрядчик оплачивает за счет собственных средств.</t>
  </si>
  <si>
    <t>5. Кладка включает работы по возведению конструкций из кирпича, блоков или других материалов с последующей заделкой отверстий, проёмов, гнёзд и борозд после прокладки инженерных сетей  в соответствии с проектом.</t>
  </si>
  <si>
    <t>Тип затрат</t>
  </si>
  <si>
    <t>Монтаж перемычек   отм. -7.200 (подвал)</t>
  </si>
  <si>
    <t>3.5.</t>
  </si>
  <si>
    <t>Клей для  блоков из ячеистого бетона</t>
  </si>
  <si>
    <t xml:space="preserve">Для кладки в зимний период рекомендуется  использовать специальный морозостойкий клей </t>
  </si>
  <si>
    <t xml:space="preserve">6. Для кладки в зимний период рекомендуется  использовать специальный морозостойкий клей. </t>
  </si>
  <si>
    <t xml:space="preserve">1. Стоимость работ и механизмов включает в себя: фонд оплаты труда основных рабочих строителей (ФОТ), эксплуатацию машин и механизмов (ЭММ), накладные расходы (НР), сметную прибыль (СП), затраты на электроэнергию, затраты на перемещение материалов по площадке, затраты на элементы крепежа (крепеж), затраты на устройство средств подмащивания, прочие затраты, кроме затрат на основные материалы. </t>
  </si>
  <si>
    <t>р</t>
  </si>
  <si>
    <t>м</t>
  </si>
  <si>
    <t>Устройство наружных стен из  блоков ячеистого бетона  t= 200мм.</t>
  </si>
  <si>
    <t>Устройство внутренних стен из  блоков ячеистого  бетона  t= 200мм.</t>
  </si>
  <si>
    <t>Устройство внутренних стен из  блоков ячеисто бетона  t= 200мм.</t>
  </si>
  <si>
    <t>Устройство наружных стен из  блоков ячеистого  бетона  t= 200мм.</t>
  </si>
  <si>
    <t>Устройство стен  из кирпича керамического полнотелого t= 250мм.</t>
  </si>
  <si>
    <t>Устройство перегородок из кирпича полнотелого  t= 120мм.</t>
  </si>
  <si>
    <t>Устройство наружных стен из  блоков ячеистого бетона t= 200мм.</t>
  </si>
  <si>
    <t>Устройство внутренних  стен   t= 250мм.</t>
  </si>
  <si>
    <t>4.4</t>
  </si>
  <si>
    <t>Устройство внутренних стен из  блоков ячеистого  бетона t= 200мм.</t>
  </si>
  <si>
    <t>Устройство перегородок из кирпича керамического полнотелого t=120мм</t>
  </si>
  <si>
    <t xml:space="preserve">Кирпич рядовой  полнотелый  керамический 250х120х65 </t>
  </si>
  <si>
    <t>2.5.</t>
  </si>
  <si>
    <t>1.5</t>
  </si>
  <si>
    <t>4</t>
  </si>
  <si>
    <t>5</t>
  </si>
  <si>
    <t>10.5</t>
  </si>
  <si>
    <t>14.1</t>
  </si>
  <si>
    <t>14.2</t>
  </si>
  <si>
    <t>Устройство перегородок из Силикатного блока Поревит 498х80х248 мм  t= 80мм.</t>
  </si>
  <si>
    <t>Силикатный блок Поревит 80мм 498х80х248 мм</t>
  </si>
  <si>
    <t>Клей для  силикатных блоков</t>
  </si>
  <si>
    <t xml:space="preserve">Раствор цементно-песчаный М100 </t>
  </si>
  <si>
    <t>0,02</t>
  </si>
  <si>
    <t>2</t>
  </si>
  <si>
    <t>1,1</t>
  </si>
  <si>
    <t>12.4</t>
  </si>
  <si>
    <t>Сетка кладочная базальтовая 25х25мм диаметр 1мм.</t>
  </si>
  <si>
    <t>ПРв-1.11</t>
  </si>
  <si>
    <t>ПРв-1.12</t>
  </si>
  <si>
    <t>ПРв-1.13</t>
  </si>
  <si>
    <t>ПРв-1.14</t>
  </si>
  <si>
    <t>ПРв-1.15</t>
  </si>
  <si>
    <t>ПРв-1.16</t>
  </si>
  <si>
    <t>ПРв-1.17</t>
  </si>
  <si>
    <t>ПРв-1.18</t>
  </si>
  <si>
    <t>ПРв-1.19</t>
  </si>
  <si>
    <t>ПРв-1.20</t>
  </si>
  <si>
    <t>ПРв-1.21</t>
  </si>
  <si>
    <t>L100x8 L=3450</t>
  </si>
  <si>
    <t>L100x8 L=2095</t>
  </si>
  <si>
    <t>L100x8 L=2470</t>
  </si>
  <si>
    <t>L100x8 L=2585</t>
  </si>
  <si>
    <t>L100x8 L=2710</t>
  </si>
  <si>
    <t>L100x8 L=2890</t>
  </si>
  <si>
    <t>L100x8 L=2550</t>
  </si>
  <si>
    <t>L100x8 L=3080</t>
  </si>
  <si>
    <t>L100x8 L=2645</t>
  </si>
  <si>
    <t>L100x8 L=2930</t>
  </si>
  <si>
    <t>L100x8 L=3200</t>
  </si>
  <si>
    <t>L100x8 L=4000</t>
  </si>
  <si>
    <t>L100x8 L=4230</t>
  </si>
  <si>
    <t>L100x8 L=2790</t>
  </si>
  <si>
    <t>L100x8 L=3000</t>
  </si>
  <si>
    <t>L100x8 L=3065</t>
  </si>
  <si>
    <t>L100x8 L=3570</t>
  </si>
  <si>
    <t>L100x8 L=1750</t>
  </si>
  <si>
    <t>L100x8 L=2375</t>
  </si>
  <si>
    <t>L100x8 L=2970</t>
  </si>
  <si>
    <t>L100x8 L=4350</t>
  </si>
  <si>
    <t>ПРв-1</t>
  </si>
  <si>
    <t>У1</t>
  </si>
  <si>
    <t>У2</t>
  </si>
  <si>
    <t>L100x8 L=200</t>
  </si>
  <si>
    <t>L75x6 L=200</t>
  </si>
  <si>
    <t>Уголок  L100x8 ГОСТ 8509-93</t>
  </si>
  <si>
    <t>Цементно-песчаный раствор М100</t>
  </si>
  <si>
    <t>Монтаж перемычек  1 этаж</t>
  </si>
  <si>
    <t>ППБ D400 В1,5 F150-150х200х2050 ТУ23.61.11-001-63492197-2018.</t>
  </si>
  <si>
    <t>ППБ D400 В1,5 F150-150х200х2150 ТУ23.61.11-001-63492197-2018.</t>
  </si>
  <si>
    <t>ППБ D400 В1,5 F150-150х200х2450 ТУ23.61.11-001-63492197-2018.</t>
  </si>
  <si>
    <t>ППБ D400 В1,5 F150-150х200х2550 ТУ23.61.11-001-63492197-2018.</t>
  </si>
  <si>
    <t>ППБ D400 В1,5 F150-150х200х2600 ТУ23.61.11-001-63492197-2018.</t>
  </si>
  <si>
    <t>ППБ D400 В1,5 F150-150х200х2850 ТУ23.61.11-001-63492197-2018.</t>
  </si>
  <si>
    <t>ППБ D400 В1,5 F150-150х200х2870 ТУ23.61.11-001-63492197-2018.</t>
  </si>
  <si>
    <t>ППБ D400 В1,5 F150-150х200х2985 ТУ23.61.11-001-63492197-2018.</t>
  </si>
  <si>
    <t>ППБ D400 В1,5 F150-150х200х3050 ТУ23.61.11-001-63492197-2018.</t>
  </si>
  <si>
    <t>ППБ D400 В1,5 F150-150х200х3200 ТУ23.61.11-001-63492197-2018.</t>
  </si>
  <si>
    <t>ППБ D400 В1,5 F150-150х200х3250 ТУ23.61.11-001-63492197-2018.</t>
  </si>
  <si>
    <t>ППБ D400 В1,5 F150-150х200х1400 ТУ23.61.11-001-63492197-2018.</t>
  </si>
  <si>
    <t>ППБ D400 В1,5 F150-150х200х1200 ТУ23.61.11-001-63492197-2018.</t>
  </si>
  <si>
    <t>ППБ D400 В1,5 F150-150х200х1600 ТУ23.61.11-001-63492197-2018.</t>
  </si>
  <si>
    <t>ППБ D400 В1,5 F150-150х200х2020 ТУ23.61.11-001-63492197-2018.</t>
  </si>
  <si>
    <t>ППБ D400 В1,5 F150-150х200х2135 ТУ23.61.11-001-63492197-2018.</t>
  </si>
  <si>
    <t>ППБ D400 В1,5 F150-150х200х2250 ТУ23.61.11-001-63492197-2018.</t>
  </si>
  <si>
    <t>ППБ D400 В1,5 F150-150х200х2650 ТУ23.61.11-001-63492197-2018.</t>
  </si>
  <si>
    <t>ППБ D400 В1,5 F150-150х200х2800 ТУ23.61.11-001-63492197-2018.</t>
  </si>
  <si>
    <t>ППБ D400 В1,5 F150-150х200х2880 ТУ23.61.11-001-63492197-2018.</t>
  </si>
  <si>
    <t>ППБ D400 В1,5 F150-150х200х3010 ТУ23.61.11-001-63492197-2018.</t>
  </si>
  <si>
    <t>Монтаж перемычек  2-8 этаж</t>
  </si>
  <si>
    <t>15</t>
  </si>
  <si>
    <t>15.1</t>
  </si>
  <si>
    <t>15.2</t>
  </si>
  <si>
    <t>15.3</t>
  </si>
  <si>
    <t>15.4</t>
  </si>
  <si>
    <t>ППБ D400 В1,5 F150-150х200х2460 ТУ23.61.11-001-63492197-2018.</t>
  </si>
  <si>
    <t>ППБ D400 В1,5 F150-150х200х2490 ТУ23.61.11-001-63492197-2018.</t>
  </si>
  <si>
    <t>ППБ D400 В1,5 F150-150х200х1300 ТУ23.61.11-001-63492197-2018.</t>
  </si>
  <si>
    <t>ППБ D400 В1,5 F150-150х200х1550 ТУ23.61.11-001-63492197-2018.</t>
  </si>
  <si>
    <t>ППБ D400 В1,5 F150-150х200х3015 ТУ23.61.11-001-63492197-2018.</t>
  </si>
  <si>
    <t>16</t>
  </si>
  <si>
    <t>16.1</t>
  </si>
  <si>
    <t>16.2</t>
  </si>
  <si>
    <t>16.3</t>
  </si>
  <si>
    <t>16.4</t>
  </si>
  <si>
    <t>16.5</t>
  </si>
  <si>
    <t>16.6</t>
  </si>
  <si>
    <t>16.7</t>
  </si>
  <si>
    <t>16.8</t>
  </si>
  <si>
    <t>16.9</t>
  </si>
  <si>
    <t>16.10</t>
  </si>
  <si>
    <t>16.11</t>
  </si>
  <si>
    <t>Монтаж перемычек  9-24 этаж</t>
  </si>
  <si>
    <t>16.12</t>
  </si>
  <si>
    <t>16.13</t>
  </si>
  <si>
    <t>16.14</t>
  </si>
  <si>
    <t>16.15</t>
  </si>
  <si>
    <t>16.16</t>
  </si>
  <si>
    <t>16.17</t>
  </si>
  <si>
    <t>16.18</t>
  </si>
  <si>
    <t>16.19</t>
  </si>
  <si>
    <t>16.20</t>
  </si>
  <si>
    <t>Устройство  перегородок  из кирпича   t= 65мм.</t>
  </si>
  <si>
    <t>Устройство перегородок из кирпича силикатного  полнотелого          t= 65мм.</t>
  </si>
  <si>
    <t xml:space="preserve">Кирпич рядовой  полнотелый силикатный 250х120х65 </t>
  </si>
  <si>
    <t>11.5</t>
  </si>
  <si>
    <t>16.21</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</si>
  <si>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</si>
  <si>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</si>
  <si>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</si>
  <si>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</si>
  <si>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</si>
  <si>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</si>
  <si>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</si>
  <si>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</si>
  <si>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</si>
  <si>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</si>
  <si>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</si>
  <si>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</si>
  <si>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</si>
  <si>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</si>
  <si>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</si>
  <si>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</si>
  <si>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</si>
  <si>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</si>
  <si>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</si>
  <si>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</si>
  <si>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</si>
  <si>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</si>
  <si>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шт</t>
  </si>
  <si>
    <t>6.5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</si>
  <si>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</si>
  <si>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</si>
  <si>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</si>
  <si>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</si>
  <si>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</si>
  <si>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</si>
  <si>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</si>
  <si>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</si>
  <si>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</si>
  <si>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</si>
  <si>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</si>
  <si>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</si>
  <si>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</si>
  <si>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</si>
  <si>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</si>
  <si>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</si>
  <si>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</si>
  <si>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</si>
  <si>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</si>
  <si>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</si>
  <si>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</si>
  <si>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</si>
  <si>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</si>
  <si>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</si>
  <si>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</si>
  <si>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</si>
  <si>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</si>
  <si>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10.</t>
  </si>
  <si>
    <t>12.</t>
  </si>
  <si>
    <t>13.5</t>
  </si>
  <si>
    <t>15.5</t>
  </si>
  <si>
    <t>15.6</t>
  </si>
  <si>
    <t>15.7</t>
  </si>
  <si>
    <t>15.8</t>
  </si>
  <si>
    <t>15.9</t>
  </si>
  <si>
    <t>15.10</t>
  </si>
  <si>
    <t>15.11</t>
  </si>
  <si>
    <t>15.12</t>
  </si>
  <si>
    <t>15.13</t>
  </si>
  <si>
    <t>15.14</t>
  </si>
  <si>
    <t>15.15</t>
  </si>
  <si>
    <t>15.16</t>
  </si>
  <si>
    <t>15.17</t>
  </si>
  <si>
    <t>15.18</t>
  </si>
  <si>
    <t>15.19</t>
  </si>
  <si>
    <t>15.20</t>
  </si>
  <si>
    <t>15.21</t>
  </si>
  <si>
    <t>15.22</t>
  </si>
  <si>
    <t>15.23</t>
  </si>
  <si>
    <t>15.24</t>
  </si>
  <si>
    <t>15.25</t>
  </si>
  <si>
    <t>15.26</t>
  </si>
  <si>
    <t>Услуги по обслуживанию строительной площадки в т.ч.:</t>
  </si>
  <si>
    <t>компл</t>
  </si>
  <si>
    <t>Затраты по электроэнергии (прогрев, отопление, освещение,  межэтажное освещение, краны)</t>
  </si>
  <si>
    <t>Уборка мусора (самосвал, погрузчик, Щетка )</t>
  </si>
  <si>
    <t>Услуги Башенного крана</t>
  </si>
  <si>
    <t>Обслуживание биотуалетов</t>
  </si>
  <si>
    <t>Вывоз мусора</t>
  </si>
  <si>
    <t>мес</t>
  </si>
  <si>
    <t>18</t>
  </si>
  <si>
    <t>19</t>
  </si>
  <si>
    <t>услуга</t>
  </si>
  <si>
    <t>-Дюбели  5х50мм</t>
  </si>
  <si>
    <t>-Перфорированная полосовая коррозионостойкая сталь 1,5х30х400</t>
  </si>
  <si>
    <t>- Швеллер гнутый 130х60х4</t>
  </si>
  <si>
    <t>18.1</t>
  </si>
  <si>
    <t>20</t>
  </si>
  <si>
    <t>20.1</t>
  </si>
  <si>
    <t>20.2</t>
  </si>
  <si>
    <t>20.3</t>
  </si>
  <si>
    <t>20.4</t>
  </si>
  <si>
    <t xml:space="preserve">Отсечная гидроизоляция Технониколь (200мм) Первый ряд каменных работ </t>
  </si>
  <si>
    <t xml:space="preserve">Устройство  отсечной  гидроизоляции </t>
  </si>
  <si>
    <t>Мастика приклеивающая "Технониколь №27" или ананлог</t>
  </si>
  <si>
    <t>усл</t>
  </si>
  <si>
    <t>комп</t>
  </si>
  <si>
    <t>р/м, услуга, компл</t>
  </si>
  <si>
    <t>Мастика приклеивающая "Технониколь №27" или аналог</t>
  </si>
  <si>
    <t>Дюбель  6*50 мм.</t>
  </si>
  <si>
    <t xml:space="preserve">-Дюбели  </t>
  </si>
  <si>
    <t>Общий итог</t>
  </si>
  <si>
    <t>Сумма по полю Всего кол-во</t>
  </si>
  <si>
    <t>Итог</t>
  </si>
  <si>
    <t>(несколько элементов)</t>
  </si>
  <si>
    <t>Гидроизоляция ниже отм.0.00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</si>
</sst>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0.0000"/>
  </numFmts>
  <fonts count="40" x14ac:knownFonts="1">
    <font>
      <sz val="11"/>
      <color theme="1"/>
      <name val="Calibri"/>
      <family val="2"/>
      <scheme val="minor"/>
    </font>
    <font>
      <sz val="11"/>
      <color theme="1"/>
      <name val="Calibri"/>
      <family val="2"/>
      <charset val="204"/>
      <scheme val="minor"/>
    </font>
    <font>
      <sz val="11"/>
      <color theme="1"/>
      <name val="Calibri"/>
      <family val="2"/>
      <scheme val="minor"/>
    </font>
    <font>
      <sz val="11"/>
      <color rgb="FFFF0000"/>
      <name val="Times New Roman"/>
      <family val="1"/>
      <charset val="204"/>
    </font>
    <font>
      <sz val="10"/>
      <color theme="1"/>
      <name val="Times New Roman"/>
      <family val="1"/>
      <charset val="204"/>
    </font>
    <font>
      <sz val="12"/>
      <color theme="1"/>
      <name val="Times New Roman"/>
      <family val="1"/>
      <charset val="204"/>
    </font>
    <font>
      <sz val="10"/>
      <color rgb="FFFF0000"/>
      <name val="Times New Roman"/>
      <family val="1"/>
      <charset val="204"/>
    </font>
    <font>
      <b/>
      <sz val="14"/>
      <color theme="1"/>
      <name val="Times New Roman"/>
      <family val="1"/>
      <charset val="204"/>
    </font>
    <font>
      <b/>
      <sz val="12"/>
      <color theme="1"/>
      <name val="Times New Roman"/>
      <family val="1"/>
      <charset val="204"/>
    </font>
    <font>
      <i/>
      <sz val="12"/>
      <color theme="1"/>
      <name val="Times New Roman"/>
      <family val="1"/>
      <charset val="204"/>
    </font>
    <font>
      <b/>
      <sz val="11"/>
      <color theme="1"/>
      <name val="Times New Roman"/>
      <family val="1"/>
      <charset val="204"/>
    </font>
    <font>
      <sz val="10"/>
      <name val="Times New Roman"/>
      <family val="1"/>
      <charset val="204"/>
    </font>
    <font>
      <b/>
      <sz val="11"/>
      <name val="Times New Roman"/>
      <family val="1"/>
      <charset val="204"/>
    </font>
    <font>
      <sz val="11"/>
      <name val="Times New Roman"/>
      <family val="1"/>
      <charset val="204"/>
    </font>
    <font>
      <sz val="10"/>
      <name val="Arial"/>
      <family val="2"/>
      <charset val="204"/>
    </font>
    <font>
      <sz val="11"/>
      <color theme="1"/>
      <name val="Times New Roman"/>
      <family val="1"/>
      <charset val="204"/>
    </font>
    <font>
      <b/>
      <sz val="11"/>
      <color rgb="FF000000"/>
      <name val="Times New Roman"/>
      <family val="1"/>
      <charset val="204"/>
    </font>
    <font>
      <sz val="11"/>
      <color rgb="FF000000"/>
      <name val="Calibri"/>
      <family val="2"/>
      <charset val="204"/>
    </font>
    <font>
      <sz val="11"/>
      <color rgb="FF000000"/>
      <name val="Times New Roman"/>
      <family val="1"/>
      <charset val="204"/>
    </font>
    <font>
      <sz val="12"/>
      <name val="Times New Roman"/>
      <family val="1"/>
      <charset val="204"/>
    </font>
    <font>
      <sz val="12"/>
      <color rgb="FFFF0000"/>
      <name val="Times New Roman"/>
      <family val="1"/>
      <charset val="204"/>
    </font>
    <font>
      <sz val="11"/>
      <color indexed="64"/>
      <name val="Times New Roman"/>
      <family val="1"/>
      <charset val="204"/>
    </font>
    <font>
      <b/>
      <sz val="11"/>
      <color indexed="64"/>
      <name val="Times New Roman"/>
      <family val="1"/>
      <charset val="204"/>
    </font>
    <font>
      <b/>
      <i/>
      <sz val="11"/>
      <color theme="1"/>
      <name val="Times New Roman"/>
      <family val="1"/>
      <charset val="204"/>
    </font>
    <font>
      <i/>
      <sz val="11"/>
      <color theme="1"/>
      <name val="Times New Roman"/>
      <family val="1"/>
      <charset val="204"/>
    </font>
    <font>
      <i/>
      <sz val="11"/>
      <name val="Times New Roman"/>
      <family val="1"/>
      <charset val="204"/>
    </font>
    <font>
      <i/>
      <sz val="12"/>
      <name val="Times New Roman"/>
      <family val="1"/>
      <charset val="204"/>
    </font>
    <font>
      <b/>
      <i/>
      <sz val="12"/>
      <color theme="1"/>
      <name val="Times New Roman"/>
      <family val="1"/>
      <charset val="204"/>
    </font>
    <font>
      <sz val="9"/>
      <color rgb="FFFF0000"/>
      <name val="Times New Roman"/>
      <family val="1"/>
      <charset val="204"/>
    </font>
    <font>
      <b/>
      <sz val="9"/>
      <color theme="1"/>
      <name val="Times New Roman"/>
      <family val="1"/>
      <charset val="204"/>
    </font>
    <font>
      <sz val="9"/>
      <name val="Times New Roman"/>
      <family val="1"/>
      <charset val="204"/>
    </font>
    <font>
      <sz val="9"/>
      <color theme="1"/>
      <name val="Times New Roman"/>
      <family val="1"/>
      <charset val="204"/>
    </font>
    <font>
      <i/>
      <sz val="9"/>
      <color theme="1"/>
      <name val="Times New Roman"/>
      <family val="1"/>
      <charset val="204"/>
    </font>
    <font>
      <b/>
      <i/>
      <sz val="11"/>
      <name val="Times New Roman"/>
      <family val="1"/>
      <charset val="204"/>
    </font>
    <font>
      <b/>
      <i/>
      <sz val="9"/>
      <color theme="1"/>
      <name val="Times New Roman"/>
      <family val="1"/>
      <charset val="204"/>
    </font>
    <font>
      <sz val="8"/>
      <name val="Arial"/>
      <family val="2"/>
    </font>
    <font>
      <b/>
      <sz val="10"/>
      <color indexed="63"/>
      <name val="Times New Roman"/>
      <family val="1"/>
      <charset val="204"/>
    </font>
    <font>
      <sz val="12"/>
      <color indexed="64"/>
      <name val="Times New Roman"/>
      <family val="1"/>
      <charset val="204"/>
    </font>
    <font>
      <sz val="11"/>
      <color rgb="FF333333"/>
      <name val="Times New Roman"/>
      <family val="1"/>
      <charset val="204"/>
    </font>
    <font>
      <sz val="8"/>
      <name val="Calibri"/>
      <family val="2"/>
      <scheme val="minor"/>
    </font>
  </fonts>
  <fills count="18">
    <fill>
      <patternFill patternType="none"/>
    </fill>
    <fill>
      <patternFill patternType="gray125"/>
    </fill>
    <fill>
      <patternFill patternType="solid">
        <fgColor theme="0"/>
        <bgColor theme="0"/>
      </patternFill>
    </fill>
    <fill>
      <patternFill patternType="solid">
        <fgColor rgb="FFD7E2EF"/>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4" tint="0.39997558519241921"/>
        <bgColor theme="0"/>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tint="0.59999389629810485"/>
        <bgColor theme="0"/>
      </patternFill>
    </fill>
    <fill>
      <patternFill patternType="solid">
        <fgColor rgb="FF92D050"/>
        <bgColor indexed="64"/>
      </patternFill>
    </fill>
    <fill>
      <patternFill patternType="solid">
        <fgColor rgb="FFFFC0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s>
  <borders count="40">
    <border>
      <left/>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bottom style="thin">
        <color auto="1"/>
      </bottom>
      <diagonal/>
    </border>
    <border>
      <left style="thin">
        <color indexed="64"/>
      </left>
      <right style="thin">
        <color indexed="64"/>
      </right>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55"/>
      </right>
      <top style="thin">
        <color indexed="55"/>
      </top>
      <bottom style="thin">
        <color indexed="55"/>
      </bottom>
      <diagonal/>
    </border>
    <border>
      <left/>
      <right style="thin">
        <color indexed="55"/>
      </right>
      <top style="thin">
        <color indexed="55"/>
      </top>
      <bottom style="thin">
        <color indexed="55"/>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8">
    <xf numFmtId="0" fontId="0" fillId="0" borderId="0"/>
    <xf numFmtId="43" fontId="2" fillId="0" borderId="0" applyFont="0" applyFill="0" applyBorder="0" applyAlignment="0" applyProtection="0"/>
    <xf numFmtId="0" fontId="14" fillId="0" borderId="0"/>
    <xf numFmtId="0" fontId="17" fillId="0" borderId="0"/>
    <xf numFmtId="43" fontId="14" fillId="0" borderId="0" applyFont="0" applyFill="0" applyBorder="0" applyProtection="0"/>
    <xf numFmtId="0" fontId="2" fillId="0" borderId="0"/>
    <xf numFmtId="0" fontId="35" fillId="0" borderId="0"/>
    <xf numFmtId="0" fontId="1" fillId="0" borderId="0"/>
  </cellStyleXfs>
  <cellXfs count="548">
    <xf numFmtId="0" fontId="0" fillId="0" borderId="0" xfId="0"/>
    <xf numFmtId="43" fontId="10" fillId="3" borderId="2" xfId="1" applyFont="1" applyFill="1" applyBorder="1" applyAlignment="1" applyProtection="1">
      <alignment horizontal="center" vertical="center" wrapText="1"/>
    </xf>
    <xf numFmtId="4" fontId="10" fillId="3" borderId="2" xfId="1" applyNumberFormat="1" applyFont="1" applyFill="1" applyBorder="1" applyAlignment="1" applyProtection="1">
      <alignment horizontal="center" vertical="center" wrapText="1"/>
    </xf>
    <xf numFmtId="43" fontId="10" fillId="3" borderId="7" xfId="1" applyFont="1" applyFill="1" applyBorder="1" applyAlignment="1" applyProtection="1">
      <alignment horizontal="center" vertical="center" wrapText="1"/>
    </xf>
    <xf numFmtId="4" fontId="10" fillId="3" borderId="7" xfId="1" applyNumberFormat="1" applyFont="1" applyFill="1" applyBorder="1" applyAlignment="1" applyProtection="1">
      <alignment horizontal="center" vertical="center" wrapText="1"/>
    </xf>
    <xf numFmtId="4" fontId="10" fillId="3" borderId="3" xfId="1" applyNumberFormat="1" applyFont="1" applyFill="1" applyBorder="1" applyAlignment="1" applyProtection="1">
      <alignment horizontal="center" vertical="center" wrapText="1"/>
    </xf>
    <xf numFmtId="4" fontId="10" fillId="3" borderId="5" xfId="1" applyNumberFormat="1" applyFont="1" applyFill="1" applyBorder="1" applyAlignment="1" applyProtection="1">
      <alignment horizontal="center" vertical="center" wrapText="1"/>
    </xf>
    <xf numFmtId="4" fontId="10" fillId="3" borderId="9" xfId="1" applyNumberFormat="1" applyFont="1" applyFill="1" applyBorder="1" applyAlignment="1" applyProtection="1">
      <alignment horizontal="center" vertical="center" wrapText="1"/>
    </xf>
    <xf numFmtId="4" fontId="10" fillId="3" borderId="10" xfId="1" applyNumberFormat="1" applyFont="1" applyFill="1" applyBorder="1" applyAlignment="1" applyProtection="1">
      <alignment horizontal="center" vertical="center" wrapText="1"/>
    </xf>
    <xf numFmtId="4" fontId="10" fillId="3" borderId="11" xfId="1" applyNumberFormat="1" applyFont="1" applyFill="1" applyBorder="1" applyAlignment="1" applyProtection="1">
      <alignment horizontal="center" vertical="center" wrapText="1"/>
    </xf>
    <xf numFmtId="4" fontId="22" fillId="0" borderId="2" xfId="4" applyNumberFormat="1" applyFont="1" applyFill="1" applyBorder="1" applyAlignment="1" applyProtection="1">
      <alignment horizontal="center" vertical="center" wrapText="1"/>
    </xf>
    <xf numFmtId="4" fontId="12" fillId="0" borderId="2" xfId="4" applyNumberFormat="1" applyFont="1" applyFill="1" applyBorder="1" applyAlignment="1" applyProtection="1">
      <alignment horizontal="center" vertical="center" wrapText="1"/>
    </xf>
    <xf numFmtId="49" fontId="10" fillId="3" borderId="1" xfId="1" applyNumberFormat="1" applyFont="1" applyFill="1" applyBorder="1" applyAlignment="1" applyProtection="1">
      <alignment horizontal="center" vertical="center" wrapText="1"/>
    </xf>
    <xf numFmtId="4" fontId="22" fillId="0" borderId="3" xfId="4" applyNumberFormat="1" applyFont="1" applyFill="1" applyBorder="1" applyAlignment="1" applyProtection="1">
      <alignment horizontal="center" vertical="center" wrapText="1"/>
    </xf>
    <xf numFmtId="4" fontId="13" fillId="8" borderId="2" xfId="4" applyNumberFormat="1" applyFont="1" applyFill="1" applyBorder="1" applyAlignment="1" applyProtection="1">
      <alignment horizontal="center" vertical="center" wrapText="1"/>
    </xf>
    <xf numFmtId="4" fontId="12" fillId="8" borderId="2" xfId="4" applyNumberFormat="1" applyFont="1" applyFill="1" applyBorder="1" applyAlignment="1" applyProtection="1">
      <alignment horizontal="center" vertical="center" wrapText="1"/>
    </xf>
    <xf numFmtId="4" fontId="12" fillId="7" borderId="2" xfId="4" applyNumberFormat="1" applyFont="1" applyFill="1" applyBorder="1" applyAlignment="1" applyProtection="1">
      <alignment horizontal="center" vertical="center" wrapText="1"/>
    </xf>
    <xf numFmtId="164" fontId="12" fillId="0" borderId="2" xfId="4" applyNumberFormat="1" applyFont="1" applyFill="1" applyBorder="1" applyAlignment="1" applyProtection="1">
      <alignment horizontal="center" vertical="center" wrapText="1"/>
    </xf>
    <xf numFmtId="0" fontId="15" fillId="0" borderId="0" xfId="7" applyFont="1" applyAlignment="1" applyProtection="1">
      <alignment vertical="center"/>
      <protection locked="0"/>
    </xf>
    <xf numFmtId="4" fontId="3" fillId="0" borderId="0" xfId="0" applyNumberFormat="1" applyFont="1" applyAlignment="1" applyProtection="1">
      <alignment horizontal="center" vertical="center"/>
    </xf>
    <xf numFmtId="4" fontId="3" fillId="0" borderId="0" xfId="0" applyNumberFormat="1" applyFont="1" applyProtection="1"/>
    <xf numFmtId="0" fontId="6" fillId="0" borderId="0" xfId="0" applyFont="1" applyProtection="1"/>
    <xf numFmtId="0" fontId="20" fillId="0" borderId="0" xfId="0" applyFont="1" applyProtection="1"/>
    <xf numFmtId="0" fontId="20" fillId="0" borderId="0" xfId="0" applyFont="1" applyAlignment="1" applyProtection="1">
      <alignment horizontal="right"/>
    </xf>
    <xf numFmtId="4" fontId="6" fillId="0" borderId="0" xfId="0" applyNumberFormat="1" applyFont="1" applyAlignment="1" applyProtection="1">
      <alignment horizontal="center" vertical="center"/>
    </xf>
    <xf numFmtId="4" fontId="6" fillId="0" borderId="0" xfId="0" applyNumberFormat="1" applyFont="1" applyProtection="1"/>
    <xf numFmtId="4" fontId="15" fillId="0" borderId="0" xfId="0" applyNumberFormat="1" applyFont="1" applyAlignment="1" applyProtection="1">
      <alignment horizontal="center" vertical="center"/>
    </xf>
    <xf numFmtId="0" fontId="4" fillId="0" borderId="0" xfId="0" applyFont="1" applyProtection="1"/>
    <xf numFmtId="0" fontId="5" fillId="0" borderId="0" xfId="0" applyFont="1" applyProtection="1"/>
    <xf numFmtId="0" fontId="5" fillId="0" borderId="0" xfId="0" applyFont="1" applyAlignment="1" applyProtection="1">
      <alignment horizontal="right"/>
    </xf>
    <xf numFmtId="49" fontId="5" fillId="0" borderId="0" xfId="0" applyNumberFormat="1" applyFont="1" applyAlignment="1" applyProtection="1">
      <alignment horizontal="center" vertical="center" wrapText="1"/>
    </xf>
    <xf numFmtId="49" fontId="10" fillId="6" borderId="1" xfId="0" applyNumberFormat="1" applyFont="1" applyFill="1" applyBorder="1" applyAlignment="1" applyProtection="1">
      <alignment horizontal="center" vertical="center" wrapText="1"/>
    </xf>
    <xf numFmtId="4" fontId="12" fillId="6" borderId="2" xfId="0" applyNumberFormat="1" applyFont="1" applyFill="1" applyBorder="1" applyAlignment="1" applyProtection="1">
      <alignment horizontal="center" vertical="center" wrapText="1"/>
    </xf>
    <xf numFmtId="0" fontId="10" fillId="7" borderId="2" xfId="0" applyFont="1" applyFill="1" applyBorder="1" applyAlignment="1" applyProtection="1">
      <alignment horizontal="left" vertical="center" wrapText="1"/>
    </xf>
    <xf numFmtId="4" fontId="10" fillId="6" borderId="2" xfId="0" applyNumberFormat="1" applyFont="1" applyFill="1" applyBorder="1" applyAlignment="1" applyProtection="1">
      <alignment horizontal="center" vertical="center" wrapText="1"/>
    </xf>
    <xf numFmtId="4" fontId="10" fillId="6" borderId="3" xfId="0" applyNumberFormat="1" applyFont="1" applyFill="1" applyBorder="1" applyAlignment="1" applyProtection="1">
      <alignment horizontal="center" vertical="center" wrapText="1"/>
    </xf>
    <xf numFmtId="0" fontId="13" fillId="7" borderId="2" xfId="0" applyFont="1" applyFill="1" applyBorder="1" applyProtection="1"/>
    <xf numFmtId="4" fontId="10" fillId="6" borderId="12" xfId="0" applyNumberFormat="1" applyFont="1" applyFill="1" applyBorder="1" applyAlignment="1" applyProtection="1">
      <alignment horizontal="center" vertical="center" wrapText="1"/>
    </xf>
    <xf numFmtId="4" fontId="6" fillId="7" borderId="0" xfId="0" applyNumberFormat="1" applyFont="1" applyFill="1" applyAlignment="1" applyProtection="1">
      <alignment horizontal="center" vertical="center"/>
    </xf>
    <xf numFmtId="4" fontId="6" fillId="7" borderId="0" xfId="0" applyNumberFormat="1" applyFont="1" applyFill="1" applyProtection="1"/>
    <xf numFmtId="49" fontId="10" fillId="10" borderId="1" xfId="0" applyNumberFormat="1" applyFont="1" applyFill="1" applyBorder="1" applyAlignment="1" applyProtection="1">
      <alignment horizontal="center" vertical="center" wrapText="1"/>
    </xf>
    <xf numFmtId="4" fontId="12" fillId="10" borderId="2" xfId="0" applyNumberFormat="1" applyFont="1" applyFill="1" applyBorder="1" applyAlignment="1" applyProtection="1">
      <alignment horizontal="center" vertical="center" wrapText="1"/>
    </xf>
    <xf numFmtId="0" fontId="10" fillId="5" borderId="2" xfId="0" applyFont="1" applyFill="1" applyBorder="1" applyAlignment="1" applyProtection="1">
      <alignment horizontal="left" vertical="center" wrapText="1"/>
    </xf>
    <xf numFmtId="4" fontId="10" fillId="10" borderId="2" xfId="0" applyNumberFormat="1" applyFont="1" applyFill="1" applyBorder="1" applyAlignment="1" applyProtection="1">
      <alignment horizontal="center" vertical="center" wrapText="1"/>
    </xf>
    <xf numFmtId="4" fontId="10" fillId="10" borderId="3" xfId="0" applyNumberFormat="1" applyFont="1" applyFill="1" applyBorder="1" applyAlignment="1" applyProtection="1">
      <alignment horizontal="center" vertical="center" wrapText="1"/>
    </xf>
    <xf numFmtId="0" fontId="13" fillId="5" borderId="2" xfId="0" applyFont="1" applyFill="1" applyBorder="1" applyProtection="1"/>
    <xf numFmtId="4" fontId="10" fillId="10" borderId="12" xfId="0" applyNumberFormat="1" applyFont="1" applyFill="1" applyBorder="1" applyAlignment="1" applyProtection="1">
      <alignment horizontal="center" vertical="center" wrapText="1"/>
    </xf>
    <xf numFmtId="4" fontId="6" fillId="5" borderId="0" xfId="0" applyNumberFormat="1" applyFont="1" applyFill="1" applyAlignment="1" applyProtection="1">
      <alignment horizontal="center" vertical="center"/>
    </xf>
    <xf numFmtId="4" fontId="6" fillId="5" borderId="0" xfId="0" applyNumberFormat="1" applyFont="1" applyFill="1" applyProtection="1"/>
    <xf numFmtId="49" fontId="16" fillId="8" borderId="1" xfId="3" applyNumberFormat="1" applyFont="1" applyFill="1" applyBorder="1" applyAlignment="1" applyProtection="1">
      <alignment horizontal="center" vertical="center"/>
    </xf>
    <xf numFmtId="0" fontId="10" fillId="8" borderId="2" xfId="0" applyFont="1" applyFill="1" applyBorder="1" applyAlignment="1" applyProtection="1">
      <alignment horizontal="left" vertical="center" wrapText="1"/>
    </xf>
    <xf numFmtId="0" fontId="13" fillId="8" borderId="2" xfId="3" applyFont="1" applyFill="1" applyBorder="1" applyAlignment="1" applyProtection="1">
      <alignment horizontal="center" vertical="center" wrapText="1"/>
    </xf>
    <xf numFmtId="3" fontId="13" fillId="8" borderId="2" xfId="3" applyNumberFormat="1" applyFont="1" applyFill="1" applyBorder="1" applyAlignment="1" applyProtection="1">
      <alignment horizontal="center" vertical="center"/>
    </xf>
    <xf numFmtId="4" fontId="13" fillId="8" borderId="3" xfId="2" applyNumberFormat="1" applyFont="1" applyFill="1" applyBorder="1" applyAlignment="1" applyProtection="1">
      <alignment horizontal="center" vertical="center" wrapText="1"/>
    </xf>
    <xf numFmtId="4" fontId="13" fillId="8" borderId="2" xfId="2" applyNumberFormat="1" applyFont="1" applyFill="1" applyBorder="1" applyAlignment="1" applyProtection="1">
      <alignment horizontal="center" vertical="center" wrapText="1"/>
    </xf>
    <xf numFmtId="4" fontId="18" fillId="8" borderId="2" xfId="3" applyNumberFormat="1" applyFont="1" applyFill="1" applyBorder="1" applyAlignment="1" applyProtection="1">
      <alignment horizontal="center" vertical="center"/>
    </xf>
    <xf numFmtId="4" fontId="12" fillId="8" borderId="2" xfId="2" applyNumberFormat="1" applyFont="1" applyFill="1" applyBorder="1" applyAlignment="1" applyProtection="1">
      <alignment horizontal="center" vertical="center"/>
    </xf>
    <xf numFmtId="4" fontId="10" fillId="8" borderId="2" xfId="0" applyNumberFormat="1" applyFont="1" applyFill="1" applyBorder="1" applyAlignment="1" applyProtection="1">
      <alignment horizontal="center" vertical="center" wrapText="1"/>
    </xf>
    <xf numFmtId="4" fontId="16" fillId="8" borderId="3" xfId="3" applyNumberFormat="1" applyFont="1" applyFill="1" applyBorder="1" applyAlignment="1" applyProtection="1">
      <alignment horizontal="center" vertical="center"/>
    </xf>
    <xf numFmtId="49" fontId="18" fillId="0" borderId="1" xfId="3" applyNumberFormat="1" applyFont="1" applyFill="1" applyBorder="1" applyAlignment="1" applyProtection="1">
      <alignment horizontal="center" vertical="center"/>
    </xf>
    <xf numFmtId="0" fontId="13" fillId="0" borderId="2" xfId="3" applyFont="1" applyFill="1" applyBorder="1" applyAlignment="1" applyProtection="1">
      <alignment vertical="center" wrapText="1"/>
    </xf>
    <xf numFmtId="0" fontId="13" fillId="0" borderId="2" xfId="3" applyFont="1" applyFill="1" applyBorder="1" applyAlignment="1" applyProtection="1">
      <alignment horizontal="center" vertical="center" wrapText="1"/>
    </xf>
    <xf numFmtId="3" fontId="13" fillId="0" borderId="2" xfId="3" applyNumberFormat="1" applyFont="1" applyFill="1" applyBorder="1" applyAlignment="1" applyProtection="1">
      <alignment horizontal="center" vertical="center"/>
    </xf>
    <xf numFmtId="4" fontId="12" fillId="0" borderId="3" xfId="2" applyNumberFormat="1" applyFont="1" applyFill="1" applyBorder="1" applyAlignment="1" applyProtection="1">
      <alignment horizontal="center" vertical="center" wrapText="1"/>
    </xf>
    <xf numFmtId="4" fontId="12" fillId="0" borderId="2" xfId="2" applyNumberFormat="1" applyFont="1" applyFill="1" applyBorder="1" applyAlignment="1" applyProtection="1">
      <alignment horizontal="center" vertical="center" wrapText="1"/>
    </xf>
    <xf numFmtId="4" fontId="16" fillId="0" borderId="2" xfId="3" applyNumberFormat="1" applyFont="1" applyFill="1" applyBorder="1" applyAlignment="1" applyProtection="1">
      <alignment horizontal="center" vertical="center"/>
    </xf>
    <xf numFmtId="4" fontId="18" fillId="0" borderId="2" xfId="0" applyNumberFormat="1" applyFont="1" applyBorder="1" applyAlignment="1" applyProtection="1">
      <alignment horizontal="center" vertical="center" wrapText="1"/>
    </xf>
    <xf numFmtId="4" fontId="12" fillId="0" borderId="2" xfId="3" applyNumberFormat="1" applyFont="1" applyFill="1" applyBorder="1" applyAlignment="1" applyProtection="1">
      <alignment horizontal="center" vertical="center" wrapText="1"/>
    </xf>
    <xf numFmtId="4" fontId="16" fillId="0" borderId="3" xfId="3" applyNumberFormat="1" applyFont="1" applyFill="1" applyBorder="1" applyAlignment="1" applyProtection="1">
      <alignment horizontal="center" vertical="center"/>
    </xf>
    <xf numFmtId="4" fontId="15" fillId="0" borderId="2" xfId="0" applyNumberFormat="1" applyFont="1" applyBorder="1" applyAlignment="1" applyProtection="1">
      <alignment horizontal="center" vertical="center" wrapText="1"/>
    </xf>
    <xf numFmtId="4" fontId="13" fillId="0" borderId="2" xfId="0" applyNumberFormat="1" applyFont="1" applyFill="1" applyBorder="1" applyAlignment="1" applyProtection="1">
      <alignment horizontal="center" vertical="center"/>
    </xf>
    <xf numFmtId="4" fontId="13" fillId="0" borderId="3" xfId="0" applyNumberFormat="1" applyFont="1" applyFill="1" applyBorder="1" applyAlignment="1" applyProtection="1">
      <alignment horizontal="center" vertical="center"/>
    </xf>
    <xf numFmtId="4" fontId="15" fillId="0" borderId="2" xfId="0" applyNumberFormat="1" applyFont="1" applyBorder="1" applyAlignment="1" applyProtection="1">
      <alignment horizontal="center" vertical="center"/>
    </xf>
    <xf numFmtId="4" fontId="15" fillId="0" borderId="3" xfId="0" applyNumberFormat="1" applyFont="1" applyBorder="1" applyAlignment="1" applyProtection="1">
      <alignment horizontal="center" vertical="center" wrapText="1"/>
    </xf>
    <xf numFmtId="4" fontId="15" fillId="0" borderId="2" xfId="0" applyNumberFormat="1" applyFont="1" applyFill="1" applyBorder="1" applyAlignment="1" applyProtection="1">
      <alignment horizontal="center" vertical="center" wrapText="1"/>
    </xf>
    <xf numFmtId="4" fontId="15" fillId="8" borderId="2" xfId="0" applyNumberFormat="1" applyFont="1" applyFill="1" applyBorder="1" applyAlignment="1" applyProtection="1">
      <alignment horizontal="center" vertical="center" wrapText="1"/>
    </xf>
    <xf numFmtId="4" fontId="15" fillId="8" borderId="2" xfId="0" applyNumberFormat="1" applyFont="1" applyFill="1" applyBorder="1" applyAlignment="1" applyProtection="1">
      <alignment horizontal="center" vertical="center"/>
    </xf>
    <xf numFmtId="4" fontId="15" fillId="8" borderId="3" xfId="0" applyNumberFormat="1" applyFont="1" applyFill="1" applyBorder="1" applyAlignment="1" applyProtection="1">
      <alignment horizontal="center" vertical="center" wrapText="1"/>
    </xf>
    <xf numFmtId="4" fontId="18" fillId="8" borderId="2" xfId="0" applyNumberFormat="1" applyFont="1" applyFill="1" applyBorder="1" applyAlignment="1" applyProtection="1">
      <alignment horizontal="center" vertical="center" wrapText="1"/>
    </xf>
    <xf numFmtId="4" fontId="15" fillId="8" borderId="10" xfId="0" applyNumberFormat="1" applyFont="1" applyFill="1" applyBorder="1" applyAlignment="1" applyProtection="1">
      <alignment horizontal="center" vertical="center" wrapText="1"/>
    </xf>
    <xf numFmtId="4" fontId="15" fillId="8" borderId="5" xfId="0" applyNumberFormat="1" applyFont="1" applyFill="1" applyBorder="1" applyAlignment="1" applyProtection="1">
      <alignment horizontal="center" vertical="center" wrapText="1"/>
    </xf>
    <xf numFmtId="4" fontId="16" fillId="8" borderId="2" xfId="3" applyNumberFormat="1" applyFont="1" applyFill="1" applyBorder="1" applyAlignment="1" applyProtection="1">
      <alignment horizontal="center" vertical="center"/>
    </xf>
    <xf numFmtId="4" fontId="12" fillId="8" borderId="2" xfId="3" applyNumberFormat="1" applyFont="1" applyFill="1" applyBorder="1" applyAlignment="1" applyProtection="1">
      <alignment horizontal="center" vertical="center" wrapText="1"/>
    </xf>
    <xf numFmtId="49" fontId="16" fillId="7" borderId="1" xfId="3" applyNumberFormat="1" applyFont="1" applyFill="1" applyBorder="1" applyAlignment="1" applyProtection="1">
      <alignment horizontal="center" vertical="center"/>
    </xf>
    <xf numFmtId="0" fontId="12" fillId="7" borderId="2" xfId="3" applyFont="1" applyFill="1" applyBorder="1" applyAlignment="1" applyProtection="1">
      <alignment vertical="center" wrapText="1"/>
    </xf>
    <xf numFmtId="0" fontId="13" fillId="7" borderId="2" xfId="3" applyFont="1" applyFill="1" applyBorder="1" applyAlignment="1" applyProtection="1">
      <alignment horizontal="center" vertical="center" wrapText="1"/>
    </xf>
    <xf numFmtId="3" fontId="13" fillId="7" borderId="2" xfId="3" applyNumberFormat="1" applyFont="1" applyFill="1" applyBorder="1" applyAlignment="1" applyProtection="1">
      <alignment horizontal="center" vertical="center"/>
    </xf>
    <xf numFmtId="4" fontId="12" fillId="7" borderId="3" xfId="2" applyNumberFormat="1" applyFont="1" applyFill="1" applyBorder="1" applyAlignment="1" applyProtection="1">
      <alignment horizontal="center" vertical="center" wrapText="1"/>
    </xf>
    <xf numFmtId="4" fontId="12" fillId="7" borderId="2" xfId="2" applyNumberFormat="1" applyFont="1" applyFill="1" applyBorder="1" applyAlignment="1" applyProtection="1">
      <alignment horizontal="center" vertical="center" wrapText="1"/>
    </xf>
    <xf numFmtId="4" fontId="18" fillId="7" borderId="2" xfId="0" applyNumberFormat="1" applyFont="1" applyFill="1" applyBorder="1" applyAlignment="1" applyProtection="1">
      <alignment horizontal="center" vertical="center" wrapText="1"/>
    </xf>
    <xf numFmtId="4" fontId="16" fillId="7" borderId="2" xfId="3" applyNumberFormat="1" applyFont="1" applyFill="1" applyBorder="1" applyAlignment="1" applyProtection="1">
      <alignment horizontal="center" vertical="center"/>
    </xf>
    <xf numFmtId="4" fontId="12" fillId="7" borderId="2" xfId="3" applyNumberFormat="1" applyFont="1" applyFill="1" applyBorder="1" applyAlignment="1" applyProtection="1">
      <alignment horizontal="center" vertical="center" wrapText="1"/>
    </xf>
    <xf numFmtId="4" fontId="16" fillId="7" borderId="3" xfId="3" applyNumberFormat="1" applyFont="1" applyFill="1" applyBorder="1" applyAlignment="1" applyProtection="1">
      <alignment horizontal="center" vertical="center"/>
    </xf>
    <xf numFmtId="4" fontId="12" fillId="8" borderId="3" xfId="2" applyNumberFormat="1" applyFont="1" applyFill="1" applyBorder="1" applyAlignment="1" applyProtection="1">
      <alignment horizontal="center" vertical="center" wrapText="1"/>
    </xf>
    <xf numFmtId="4" fontId="12" fillId="8" borderId="2" xfId="2" applyNumberFormat="1" applyFont="1" applyFill="1" applyBorder="1" applyAlignment="1" applyProtection="1">
      <alignment horizontal="center" vertical="center" wrapText="1"/>
    </xf>
    <xf numFmtId="4" fontId="15" fillId="0" borderId="2" xfId="0" applyNumberFormat="1" applyFont="1" applyFill="1" applyBorder="1" applyAlignment="1" applyProtection="1">
      <alignment vertical="center" wrapText="1"/>
    </xf>
    <xf numFmtId="164" fontId="12" fillId="0" borderId="2" xfId="2" applyNumberFormat="1" applyFont="1" applyFill="1" applyBorder="1" applyAlignment="1" applyProtection="1">
      <alignment horizontal="center" vertical="center" wrapText="1"/>
    </xf>
    <xf numFmtId="164" fontId="12" fillId="0" borderId="3" xfId="2" applyNumberFormat="1" applyFont="1" applyFill="1" applyBorder="1" applyAlignment="1" applyProtection="1">
      <alignment horizontal="center" vertical="center" wrapText="1"/>
    </xf>
    <xf numFmtId="0" fontId="12" fillId="8" borderId="2" xfId="3" applyFont="1" applyFill="1" applyBorder="1" applyAlignment="1" applyProtection="1">
      <alignment vertical="center" wrapText="1"/>
    </xf>
    <xf numFmtId="4" fontId="16" fillId="8" borderId="2" xfId="0" applyNumberFormat="1" applyFont="1" applyFill="1" applyBorder="1" applyAlignment="1" applyProtection="1">
      <alignment horizontal="center" vertical="center" wrapText="1"/>
    </xf>
    <xf numFmtId="4" fontId="15" fillId="0" borderId="2" xfId="0" applyNumberFormat="1" applyFont="1" applyFill="1" applyBorder="1" applyAlignment="1" applyProtection="1">
      <alignment horizontal="center" vertical="center"/>
    </xf>
    <xf numFmtId="0" fontId="11" fillId="0" borderId="2" xfId="3" applyFont="1" applyFill="1" applyBorder="1" applyAlignment="1" applyProtection="1">
      <alignment horizontal="center" vertical="center" wrapText="1"/>
    </xf>
    <xf numFmtId="4" fontId="15" fillId="0" borderId="3" xfId="0" applyNumberFormat="1" applyFont="1" applyFill="1" applyBorder="1" applyAlignment="1" applyProtection="1">
      <alignment horizontal="center" vertical="center" wrapText="1"/>
    </xf>
    <xf numFmtId="0" fontId="15" fillId="0" borderId="0" xfId="0" applyFont="1" applyFill="1" applyProtection="1"/>
    <xf numFmtId="4" fontId="15" fillId="6" borderId="2" xfId="0" applyNumberFormat="1" applyFont="1" applyFill="1" applyBorder="1" applyAlignment="1" applyProtection="1">
      <alignment horizontal="center" vertical="center" wrapText="1"/>
    </xf>
    <xf numFmtId="4" fontId="13" fillId="0" borderId="3" xfId="2" applyNumberFormat="1" applyFont="1" applyFill="1" applyBorder="1" applyAlignment="1" applyProtection="1">
      <alignment horizontal="center" vertical="center" wrapText="1"/>
    </xf>
    <xf numFmtId="4" fontId="13" fillId="0" borderId="2" xfId="2" applyNumberFormat="1" applyFont="1" applyFill="1" applyBorder="1" applyAlignment="1" applyProtection="1">
      <alignment horizontal="center" vertical="center" wrapText="1"/>
    </xf>
    <xf numFmtId="49" fontId="10" fillId="3" borderId="6" xfId="0" applyNumberFormat="1" applyFont="1" applyFill="1" applyBorder="1" applyAlignment="1" applyProtection="1">
      <alignment horizontal="left" vertical="center" wrapText="1"/>
    </xf>
    <xf numFmtId="49" fontId="10" fillId="3" borderId="7" xfId="0" applyNumberFormat="1" applyFont="1" applyFill="1" applyBorder="1" applyAlignment="1" applyProtection="1">
      <alignment horizontal="center" vertical="center" wrapText="1"/>
    </xf>
    <xf numFmtId="4" fontId="10" fillId="3" borderId="7" xfId="0" applyNumberFormat="1" applyFont="1" applyFill="1" applyBorder="1" applyAlignment="1" applyProtection="1">
      <alignment horizontal="center" vertical="center" wrapText="1"/>
    </xf>
    <xf numFmtId="4" fontId="10" fillId="3" borderId="8" xfId="0" applyNumberFormat="1" applyFont="1" applyFill="1" applyBorder="1" applyAlignment="1" applyProtection="1">
      <alignment horizontal="center" vertical="center" wrapText="1"/>
    </xf>
    <xf numFmtId="0" fontId="10" fillId="0" borderId="0" xfId="0" applyFont="1" applyAlignment="1" applyProtection="1">
      <alignment vertical="center"/>
    </xf>
    <xf numFmtId="0" fontId="15" fillId="0" borderId="0" xfId="0" applyFont="1" applyAlignment="1" applyProtection="1">
      <alignment horizontal="center" vertical="center"/>
    </xf>
    <xf numFmtId="0" fontId="15" fillId="0" borderId="0" xfId="7" applyFont="1" applyAlignment="1" applyProtection="1">
      <alignment vertical="center"/>
    </xf>
    <xf numFmtId="49" fontId="15" fillId="0" borderId="0" xfId="0" applyNumberFormat="1" applyFont="1" applyProtection="1"/>
    <xf numFmtId="0" fontId="15" fillId="0" borderId="0" xfId="0" applyFont="1" applyProtection="1"/>
    <xf numFmtId="0" fontId="23" fillId="0" borderId="0" xfId="0" applyFont="1" applyAlignment="1" applyProtection="1">
      <alignment vertical="center"/>
    </xf>
    <xf numFmtId="0" fontId="23" fillId="0" borderId="0" xfId="0" applyFont="1" applyAlignment="1" applyProtection="1">
      <alignment horizontal="center" vertical="center"/>
    </xf>
    <xf numFmtId="0" fontId="24"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Alignment="1" applyProtection="1">
      <alignment vertical="center"/>
    </xf>
    <xf numFmtId="4" fontId="9" fillId="0" borderId="0" xfId="0" applyNumberFormat="1" applyFont="1" applyAlignment="1" applyProtection="1">
      <alignment horizontal="center" vertical="center"/>
    </xf>
    <xf numFmtId="0" fontId="24" fillId="0" borderId="0" xfId="0" applyFont="1" applyAlignment="1" applyProtection="1">
      <alignment horizontal="center" vertical="center"/>
    </xf>
    <xf numFmtId="4" fontId="24" fillId="0" borderId="0" xfId="0" applyNumberFormat="1" applyFont="1" applyAlignment="1" applyProtection="1">
      <alignment horizontal="center" vertical="center"/>
    </xf>
    <xf numFmtId="4" fontId="25" fillId="0" borderId="0" xfId="0" applyNumberFormat="1" applyFont="1" applyAlignment="1" applyProtection="1">
      <alignment horizontal="center" vertical="center"/>
    </xf>
    <xf numFmtId="49" fontId="24" fillId="0" borderId="0" xfId="0" applyNumberFormat="1" applyFont="1" applyAlignment="1" applyProtection="1">
      <alignment vertical="center"/>
    </xf>
    <xf numFmtId="49" fontId="24" fillId="0" borderId="0" xfId="0" applyNumberFormat="1" applyFont="1" applyAlignment="1" applyProtection="1">
      <alignment horizontal="center" vertical="center"/>
    </xf>
    <xf numFmtId="4" fontId="26" fillId="0" borderId="0" xfId="0" applyNumberFormat="1" applyFont="1" applyAlignment="1" applyProtection="1">
      <alignment horizontal="center" vertical="center"/>
    </xf>
    <xf numFmtId="0" fontId="27" fillId="4" borderId="0" xfId="0" applyFont="1" applyFill="1" applyAlignment="1" applyProtection="1">
      <alignment vertical="center"/>
    </xf>
    <xf numFmtId="0" fontId="8" fillId="4" borderId="0" xfId="0" applyFont="1" applyFill="1" applyAlignment="1" applyProtection="1">
      <alignment horizontal="center" vertical="center"/>
    </xf>
    <xf numFmtId="0" fontId="8" fillId="4" borderId="0" xfId="0" applyFont="1" applyFill="1" applyAlignment="1" applyProtection="1">
      <alignment vertical="center"/>
    </xf>
    <xf numFmtId="4" fontId="8" fillId="4" borderId="0" xfId="0" applyNumberFormat="1" applyFont="1" applyFill="1" applyAlignment="1" applyProtection="1">
      <alignment horizontal="center" vertical="center"/>
    </xf>
    <xf numFmtId="4" fontId="5" fillId="4" borderId="0" xfId="0" applyNumberFormat="1" applyFont="1" applyFill="1" applyAlignment="1" applyProtection="1">
      <alignment horizontal="center" vertical="center"/>
    </xf>
    <xf numFmtId="0" fontId="5" fillId="4" borderId="0" xfId="0" applyFont="1" applyFill="1" applyAlignment="1" applyProtection="1">
      <alignment vertical="center"/>
    </xf>
    <xf numFmtId="0" fontId="5" fillId="0" borderId="0" xfId="0" applyFont="1" applyAlignment="1" applyProtection="1">
      <alignment horizontal="center" vertical="center"/>
    </xf>
    <xf numFmtId="0" fontId="5" fillId="0" borderId="0" xfId="0" applyFont="1" applyAlignment="1" applyProtection="1">
      <alignment vertical="center"/>
    </xf>
    <xf numFmtId="4" fontId="5" fillId="0" borderId="0" xfId="0" applyNumberFormat="1" applyFont="1" applyAlignment="1" applyProtection="1">
      <alignment horizontal="center" vertical="center"/>
    </xf>
    <xf numFmtId="4" fontId="19" fillId="0" borderId="0" xfId="0" applyNumberFormat="1" applyFont="1" applyAlignment="1" applyProtection="1">
      <alignment horizontal="center" vertical="center"/>
    </xf>
    <xf numFmtId="4" fontId="10" fillId="6" borderId="5" xfId="0" applyNumberFormat="1" applyFont="1" applyFill="1" applyBorder="1" applyAlignment="1" applyProtection="1">
      <alignment horizontal="center" vertical="center" wrapText="1"/>
      <protection locked="0"/>
    </xf>
    <xf numFmtId="4" fontId="10" fillId="6" borderId="2" xfId="0" applyNumberFormat="1" applyFont="1" applyFill="1" applyBorder="1" applyAlignment="1" applyProtection="1">
      <alignment horizontal="center" vertical="center" wrapText="1"/>
      <protection locked="0"/>
    </xf>
    <xf numFmtId="4" fontId="10" fillId="10" borderId="5" xfId="0" applyNumberFormat="1" applyFont="1" applyFill="1" applyBorder="1" applyAlignment="1" applyProtection="1">
      <alignment horizontal="center" vertical="center" wrapText="1"/>
      <protection locked="0"/>
    </xf>
    <xf numFmtId="4" fontId="10" fillId="10" borderId="2" xfId="0" applyNumberFormat="1" applyFont="1" applyFill="1" applyBorder="1" applyAlignment="1" applyProtection="1">
      <alignment horizontal="center" vertical="center" wrapText="1"/>
      <protection locked="0"/>
    </xf>
    <xf numFmtId="4" fontId="21" fillId="8" borderId="5" xfId="4" applyNumberFormat="1" applyFont="1" applyFill="1" applyBorder="1" applyAlignment="1" applyProtection="1">
      <alignment horizontal="center" vertical="center" wrapText="1"/>
      <protection locked="0"/>
    </xf>
    <xf numFmtId="4" fontId="21" fillId="8" borderId="2" xfId="4" applyNumberFormat="1" applyFont="1" applyFill="1" applyBorder="1" applyAlignment="1" applyProtection="1">
      <alignment horizontal="center" vertical="center" wrapText="1"/>
      <protection locked="0"/>
    </xf>
    <xf numFmtId="4" fontId="22" fillId="0" borderId="5" xfId="4" applyNumberFormat="1" applyFont="1" applyFill="1" applyBorder="1" applyAlignment="1" applyProtection="1">
      <alignment horizontal="center" vertical="center" wrapText="1"/>
      <protection locked="0"/>
    </xf>
    <xf numFmtId="4" fontId="22" fillId="11" borderId="2" xfId="4" applyNumberFormat="1" applyFont="1" applyFill="1" applyBorder="1" applyAlignment="1" applyProtection="1">
      <alignment horizontal="center" vertical="center" wrapText="1"/>
      <protection locked="0"/>
    </xf>
    <xf numFmtId="4" fontId="13" fillId="11" borderId="5" xfId="0" applyNumberFormat="1" applyFont="1" applyFill="1" applyBorder="1" applyAlignment="1" applyProtection="1">
      <alignment horizontal="center" vertical="center" wrapText="1"/>
      <protection locked="0"/>
    </xf>
    <xf numFmtId="4" fontId="13" fillId="0" borderId="2" xfId="0" applyNumberFormat="1" applyFont="1" applyBorder="1" applyAlignment="1" applyProtection="1">
      <alignment horizontal="center" vertical="center" wrapText="1"/>
      <protection locked="0"/>
    </xf>
    <xf numFmtId="4" fontId="15" fillId="11" borderId="5" xfId="0" applyNumberFormat="1" applyFont="1" applyFill="1" applyBorder="1" applyAlignment="1" applyProtection="1">
      <alignment horizontal="center" vertical="center"/>
      <protection locked="0"/>
    </xf>
    <xf numFmtId="4" fontId="18" fillId="0" borderId="2" xfId="0" applyNumberFormat="1" applyFont="1" applyBorder="1" applyAlignment="1" applyProtection="1">
      <alignment horizontal="center" vertical="center" wrapText="1"/>
      <protection locked="0"/>
    </xf>
    <xf numFmtId="4" fontId="15" fillId="8" borderId="5" xfId="0" applyNumberFormat="1" applyFont="1" applyFill="1" applyBorder="1" applyAlignment="1" applyProtection="1">
      <alignment horizontal="center" vertical="center"/>
      <protection locked="0"/>
    </xf>
    <xf numFmtId="4" fontId="18" fillId="8" borderId="2" xfId="0" applyNumberFormat="1" applyFont="1" applyFill="1" applyBorder="1" applyAlignment="1" applyProtection="1">
      <alignment horizontal="center" vertical="center" wrapText="1"/>
      <protection locked="0"/>
    </xf>
    <xf numFmtId="4" fontId="15" fillId="0" borderId="5" xfId="0" applyNumberFormat="1" applyFont="1" applyBorder="1" applyAlignment="1" applyProtection="1">
      <alignment horizontal="center" vertical="center"/>
      <protection locked="0"/>
    </xf>
    <xf numFmtId="4" fontId="18" fillId="11" borderId="2" xfId="0" applyNumberFormat="1" applyFont="1" applyFill="1" applyBorder="1" applyAlignment="1" applyProtection="1">
      <alignment horizontal="center" vertical="center" wrapText="1"/>
      <protection locked="0"/>
    </xf>
    <xf numFmtId="4" fontId="15" fillId="7" borderId="5" xfId="0" applyNumberFormat="1" applyFont="1" applyFill="1" applyBorder="1" applyAlignment="1" applyProtection="1">
      <alignment horizontal="center" vertical="center"/>
      <protection locked="0"/>
    </xf>
    <xf numFmtId="4" fontId="18" fillId="7" borderId="2" xfId="0" applyNumberFormat="1" applyFont="1" applyFill="1" applyBorder="1" applyAlignment="1" applyProtection="1">
      <alignment horizontal="center" vertical="center" wrapText="1"/>
      <protection locked="0"/>
    </xf>
    <xf numFmtId="4" fontId="18" fillId="0" borderId="2" xfId="0" applyNumberFormat="1" applyFont="1" applyFill="1" applyBorder="1" applyAlignment="1" applyProtection="1">
      <alignment horizontal="center" vertical="center" wrapText="1"/>
      <protection locked="0"/>
    </xf>
    <xf numFmtId="4" fontId="10" fillId="8" borderId="5" xfId="0" applyNumberFormat="1" applyFont="1" applyFill="1" applyBorder="1" applyAlignment="1" applyProtection="1">
      <alignment horizontal="center" vertical="center"/>
      <protection locked="0"/>
    </xf>
    <xf numFmtId="4" fontId="16" fillId="11" borderId="2" xfId="0" applyNumberFormat="1" applyFont="1" applyFill="1" applyBorder="1" applyAlignment="1" applyProtection="1">
      <alignment horizontal="center" vertical="center" wrapText="1"/>
      <protection locked="0"/>
    </xf>
    <xf numFmtId="4" fontId="22" fillId="11" borderId="5" xfId="4" applyNumberFormat="1" applyFont="1" applyFill="1" applyBorder="1" applyAlignment="1" applyProtection="1">
      <alignment horizontal="center" vertical="center" wrapText="1"/>
      <protection locked="0"/>
    </xf>
    <xf numFmtId="4" fontId="28" fillId="0" borderId="0" xfId="0" applyNumberFormat="1" applyFont="1" applyAlignment="1" applyProtection="1">
      <alignment horizontal="center" vertical="center"/>
      <protection locked="0"/>
    </xf>
    <xf numFmtId="4" fontId="6" fillId="0" borderId="0" xfId="0" applyNumberFormat="1" applyFont="1" applyAlignment="1" applyProtection="1">
      <alignment horizontal="center" vertical="center"/>
      <protection locked="0"/>
    </xf>
    <xf numFmtId="4" fontId="28" fillId="7" borderId="2" xfId="0" applyNumberFormat="1" applyFont="1" applyFill="1" applyBorder="1" applyAlignment="1" applyProtection="1">
      <alignment horizontal="center" vertical="center"/>
      <protection locked="0"/>
    </xf>
    <xf numFmtId="4" fontId="6" fillId="7" borderId="0" xfId="0" applyNumberFormat="1" applyFont="1" applyFill="1" applyAlignment="1" applyProtection="1">
      <alignment horizontal="center" vertical="center"/>
      <protection locked="0"/>
    </xf>
    <xf numFmtId="4" fontId="28" fillId="5" borderId="2" xfId="0" applyNumberFormat="1" applyFont="1" applyFill="1" applyBorder="1" applyAlignment="1" applyProtection="1">
      <alignment horizontal="center" vertical="center"/>
      <protection locked="0"/>
    </xf>
    <xf numFmtId="4" fontId="6" fillId="5" borderId="0" xfId="0" applyNumberFormat="1" applyFont="1" applyFill="1" applyAlignment="1" applyProtection="1">
      <alignment horizontal="center" vertical="center"/>
      <protection locked="0"/>
    </xf>
    <xf numFmtId="4" fontId="30" fillId="0" borderId="2" xfId="5" applyNumberFormat="1" applyFont="1" applyBorder="1" applyAlignment="1" applyProtection="1">
      <alignment horizontal="center" vertical="center" wrapText="1"/>
      <protection locked="0"/>
    </xf>
    <xf numFmtId="4" fontId="30" fillId="0" borderId="2" xfId="5" applyNumberFormat="1" applyFont="1" applyFill="1" applyBorder="1" applyAlignment="1" applyProtection="1">
      <alignment horizontal="center" vertical="center" wrapText="1"/>
      <protection locked="0"/>
    </xf>
    <xf numFmtId="0" fontId="32" fillId="0" borderId="0" xfId="0" applyFont="1" applyAlignment="1" applyProtection="1">
      <alignment vertical="center"/>
      <protection locked="0"/>
    </xf>
    <xf numFmtId="0" fontId="9" fillId="0" borderId="0" xfId="0" applyFont="1" applyAlignment="1" applyProtection="1">
      <alignment vertical="center"/>
      <protection locked="0"/>
    </xf>
    <xf numFmtId="0" fontId="32"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31" fillId="4" borderId="0" xfId="0" applyFont="1" applyFill="1" applyAlignment="1" applyProtection="1">
      <alignment vertical="center"/>
      <protection locked="0"/>
    </xf>
    <xf numFmtId="0" fontId="5" fillId="4" borderId="0" xfId="0" applyFont="1" applyFill="1" applyAlignment="1" applyProtection="1">
      <alignment vertical="center"/>
      <protection locked="0"/>
    </xf>
    <xf numFmtId="0" fontId="31" fillId="0" borderId="0" xfId="0" applyFont="1" applyAlignment="1" applyProtection="1">
      <alignment vertical="center"/>
      <protection locked="0"/>
    </xf>
    <xf numFmtId="0" fontId="5" fillId="0" borderId="0" xfId="0" applyFont="1" applyAlignment="1" applyProtection="1">
      <alignment vertical="center"/>
      <protection locked="0"/>
    </xf>
    <xf numFmtId="4" fontId="5" fillId="0" borderId="2" xfId="0" applyNumberFormat="1" applyFont="1" applyBorder="1" applyAlignment="1" applyProtection="1">
      <alignment horizontal="center" vertical="center" wrapText="1"/>
    </xf>
    <xf numFmtId="4" fontId="15" fillId="11" borderId="14" xfId="0" applyNumberFormat="1" applyFont="1" applyFill="1" applyBorder="1" applyAlignment="1" applyProtection="1">
      <alignment horizontal="center" vertical="center"/>
      <protection locked="0"/>
    </xf>
    <xf numFmtId="0" fontId="18" fillId="0" borderId="1" xfId="3" applyNumberFormat="1" applyFont="1" applyFill="1" applyBorder="1" applyAlignment="1" applyProtection="1">
      <alignment horizontal="center" vertical="center"/>
    </xf>
    <xf numFmtId="4" fontId="13" fillId="11" borderId="14" xfId="0" applyNumberFormat="1" applyFont="1" applyFill="1" applyBorder="1" applyAlignment="1" applyProtection="1">
      <alignment horizontal="center" vertical="center" wrapText="1"/>
      <protection locked="0"/>
    </xf>
    <xf numFmtId="4" fontId="30" fillId="8" borderId="2" xfId="5" applyNumberFormat="1" applyFont="1" applyFill="1" applyBorder="1" applyAlignment="1" applyProtection="1">
      <alignment horizontal="center" vertical="center" wrapText="1"/>
      <protection locked="0"/>
    </xf>
    <xf numFmtId="0" fontId="10" fillId="4" borderId="0" xfId="0" applyFont="1" applyFill="1" applyAlignment="1" applyProtection="1">
      <alignment horizontal="center" vertical="center"/>
    </xf>
    <xf numFmtId="0" fontId="10" fillId="4" borderId="0" xfId="0" applyFont="1" applyFill="1" applyProtection="1"/>
    <xf numFmtId="4" fontId="13" fillId="0" borderId="2" xfId="0" applyNumberFormat="1" applyFont="1" applyFill="1" applyBorder="1" applyAlignment="1" applyProtection="1">
      <alignment horizontal="left" vertical="top" wrapText="1"/>
    </xf>
    <xf numFmtId="4" fontId="13" fillId="0" borderId="3" xfId="0" applyNumberFormat="1" applyFont="1" applyFill="1" applyBorder="1" applyAlignment="1" applyProtection="1">
      <alignment horizontal="center" vertical="center" wrapText="1"/>
    </xf>
    <xf numFmtId="4" fontId="18" fillId="0" borderId="3" xfId="0" applyNumberFormat="1" applyFont="1" applyFill="1" applyBorder="1" applyAlignment="1" applyProtection="1">
      <alignment horizontal="center" vertical="center" wrapText="1"/>
    </xf>
    <xf numFmtId="4" fontId="13" fillId="0" borderId="2" xfId="0" applyNumberFormat="1" applyFont="1" applyFill="1" applyBorder="1" applyAlignment="1" applyProtection="1">
      <alignment horizontal="center" vertical="center" wrapText="1"/>
    </xf>
    <xf numFmtId="4" fontId="30" fillId="4" borderId="2" xfId="5" applyNumberFormat="1" applyFont="1" applyFill="1" applyBorder="1" applyAlignment="1" applyProtection="1">
      <alignment horizontal="center" vertical="center" wrapText="1"/>
      <protection locked="0"/>
    </xf>
    <xf numFmtId="4" fontId="18" fillId="0" borderId="2" xfId="0" applyNumberFormat="1" applyFont="1" applyFill="1" applyBorder="1" applyAlignment="1" applyProtection="1">
      <alignment horizontal="center" vertical="center" wrapText="1"/>
    </xf>
    <xf numFmtId="4" fontId="22" fillId="0" borderId="2" xfId="4" applyNumberFormat="1" applyFont="1" applyFill="1" applyBorder="1" applyAlignment="1" applyProtection="1">
      <alignment horizontal="center" vertical="center" wrapText="1"/>
      <protection locked="0"/>
    </xf>
    <xf numFmtId="49" fontId="8" fillId="4" borderId="0" xfId="0" applyNumberFormat="1" applyFont="1" applyFill="1" applyProtection="1"/>
    <xf numFmtId="4" fontId="12" fillId="12" borderId="2" xfId="4" applyNumberFormat="1" applyFont="1" applyFill="1" applyBorder="1" applyAlignment="1" applyProtection="1">
      <alignment horizontal="center" vertical="center" wrapText="1"/>
    </xf>
    <xf numFmtId="49" fontId="10" fillId="6" borderId="14" xfId="0" applyNumberFormat="1" applyFont="1" applyFill="1" applyBorder="1" applyAlignment="1" applyProtection="1">
      <alignment horizontal="center" vertical="center" wrapText="1"/>
    </xf>
    <xf numFmtId="49" fontId="10" fillId="10" borderId="14" xfId="0" applyNumberFormat="1" applyFont="1" applyFill="1" applyBorder="1" applyAlignment="1" applyProtection="1">
      <alignment horizontal="center" vertical="center" wrapText="1"/>
    </xf>
    <xf numFmtId="49" fontId="10" fillId="3" borderId="9" xfId="0" applyNumberFormat="1" applyFont="1" applyFill="1" applyBorder="1" applyAlignment="1" applyProtection="1">
      <alignment horizontal="left" vertical="center" wrapText="1"/>
    </xf>
    <xf numFmtId="0" fontId="36" fillId="8" borderId="18" xfId="6" applyFont="1" applyFill="1" applyBorder="1" applyAlignment="1" applyProtection="1">
      <alignment horizontal="center" vertical="center"/>
    </xf>
    <xf numFmtId="0" fontId="36" fillId="0" borderId="18" xfId="6" applyFont="1" applyFill="1" applyBorder="1" applyAlignment="1" applyProtection="1">
      <alignment horizontal="center" vertical="center"/>
    </xf>
    <xf numFmtId="4" fontId="12" fillId="0" borderId="5" xfId="0" applyNumberFormat="1" applyFont="1" applyBorder="1" applyAlignment="1" applyProtection="1">
      <alignment horizontal="center" vertical="center"/>
    </xf>
    <xf numFmtId="4" fontId="10" fillId="0" borderId="5" xfId="0" applyNumberFormat="1" applyFont="1" applyBorder="1" applyAlignment="1" applyProtection="1">
      <alignment horizontal="center" vertical="center"/>
    </xf>
    <xf numFmtId="0" fontId="36" fillId="8" borderId="19" xfId="6" applyFont="1" applyFill="1" applyBorder="1" applyAlignment="1" applyProtection="1">
      <alignment horizontal="center" vertical="center"/>
    </xf>
    <xf numFmtId="0" fontId="36" fillId="0" borderId="19" xfId="6" applyFont="1" applyFill="1" applyBorder="1" applyAlignment="1" applyProtection="1">
      <alignment horizontal="center" vertical="center"/>
    </xf>
    <xf numFmtId="4" fontId="12" fillId="0" borderId="20" xfId="0" applyNumberFormat="1" applyFont="1" applyBorder="1" applyAlignment="1" applyProtection="1">
      <alignment horizontal="center" vertical="center"/>
    </xf>
    <xf numFmtId="4" fontId="10" fillId="0" borderId="20" xfId="0" applyNumberFormat="1" applyFont="1" applyBorder="1" applyAlignment="1" applyProtection="1">
      <alignment horizontal="center" vertical="center"/>
    </xf>
    <xf numFmtId="4" fontId="12" fillId="6" borderId="20" xfId="0" applyNumberFormat="1" applyFont="1" applyFill="1" applyBorder="1" applyAlignment="1" applyProtection="1">
      <alignment horizontal="center" vertical="center" wrapText="1"/>
    </xf>
    <xf numFmtId="0" fontId="12" fillId="7" borderId="20" xfId="2" applyFont="1" applyFill="1" applyBorder="1" applyAlignment="1" applyProtection="1">
      <alignment horizontal="center" vertical="center"/>
    </xf>
    <xf numFmtId="0" fontId="12" fillId="8" borderId="20" xfId="2" applyFont="1" applyFill="1" applyBorder="1" applyAlignment="1" applyProtection="1">
      <alignment horizontal="center" vertical="center"/>
    </xf>
    <xf numFmtId="0" fontId="13" fillId="0" borderId="20" xfId="2" applyFont="1" applyFill="1" applyBorder="1" applyAlignment="1" applyProtection="1">
      <alignment horizontal="center" vertical="center"/>
    </xf>
    <xf numFmtId="4" fontId="15" fillId="0" borderId="20" xfId="0" applyNumberFormat="1" applyFont="1" applyFill="1" applyBorder="1" applyAlignment="1" applyProtection="1">
      <alignment horizontal="center" vertical="center"/>
    </xf>
    <xf numFmtId="0" fontId="12" fillId="0" borderId="20" xfId="2" applyFont="1" applyFill="1" applyBorder="1" applyAlignment="1" applyProtection="1">
      <alignment horizontal="center" vertical="center"/>
    </xf>
    <xf numFmtId="43" fontId="10" fillId="3" borderId="20" xfId="1" applyFont="1" applyFill="1" applyBorder="1" applyAlignment="1" applyProtection="1">
      <alignment horizontal="center" vertical="center" wrapText="1"/>
    </xf>
    <xf numFmtId="49" fontId="16" fillId="8" borderId="2" xfId="3" applyNumberFormat="1" applyFont="1" applyFill="1" applyBorder="1" applyAlignment="1" applyProtection="1">
      <alignment horizontal="center" vertical="center"/>
    </xf>
    <xf numFmtId="49" fontId="18" fillId="0" borderId="2" xfId="3" applyNumberFormat="1" applyFont="1" applyFill="1" applyBorder="1" applyAlignment="1" applyProtection="1">
      <alignment horizontal="center" vertical="center"/>
    </xf>
    <xf numFmtId="49" fontId="10" fillId="6" borderId="2" xfId="0" applyNumberFormat="1" applyFont="1" applyFill="1" applyBorder="1" applyAlignment="1" applyProtection="1">
      <alignment horizontal="center" vertical="center" wrapText="1"/>
    </xf>
    <xf numFmtId="49" fontId="16" fillId="7" borderId="2" xfId="3" applyNumberFormat="1" applyFont="1" applyFill="1" applyBorder="1" applyAlignment="1" applyProtection="1">
      <alignment horizontal="center" vertical="center"/>
    </xf>
    <xf numFmtId="49" fontId="18" fillId="0" borderId="2" xfId="0" applyNumberFormat="1" applyFont="1" applyFill="1" applyBorder="1" applyAlignment="1" applyProtection="1">
      <alignment horizontal="center" vertical="center"/>
    </xf>
    <xf numFmtId="49" fontId="10" fillId="3" borderId="2" xfId="1" applyNumberFormat="1" applyFont="1" applyFill="1" applyBorder="1" applyAlignment="1" applyProtection="1">
      <alignment horizontal="center" vertical="center" wrapText="1"/>
    </xf>
    <xf numFmtId="4" fontId="15" fillId="0" borderId="5" xfId="0" applyNumberFormat="1" applyFont="1" applyFill="1" applyBorder="1" applyAlignment="1" applyProtection="1">
      <alignment horizontal="center" vertical="center"/>
      <protection locked="0"/>
    </xf>
    <xf numFmtId="4" fontId="12" fillId="0" borderId="20" xfId="0" applyNumberFormat="1" applyFont="1" applyFill="1" applyBorder="1" applyAlignment="1" applyProtection="1">
      <alignment horizontal="center" vertical="center"/>
    </xf>
    <xf numFmtId="4" fontId="10" fillId="0" borderId="20" xfId="0" applyNumberFormat="1" applyFont="1" applyFill="1" applyBorder="1" applyAlignment="1" applyProtection="1">
      <alignment horizontal="center" vertical="center"/>
    </xf>
    <xf numFmtId="0" fontId="12" fillId="8" borderId="2" xfId="3" applyFont="1" applyFill="1" applyBorder="1" applyAlignment="1" applyProtection="1">
      <alignment horizontal="center" vertical="center" wrapText="1"/>
    </xf>
    <xf numFmtId="3" fontId="12" fillId="8" borderId="2" xfId="3" applyNumberFormat="1" applyFont="1" applyFill="1" applyBorder="1" applyAlignment="1" applyProtection="1">
      <alignment horizontal="center" vertical="center"/>
    </xf>
    <xf numFmtId="49" fontId="18" fillId="4" borderId="1" xfId="3" applyNumberFormat="1" applyFont="1" applyFill="1" applyBorder="1" applyAlignment="1" applyProtection="1">
      <alignment horizontal="center" vertical="center"/>
    </xf>
    <xf numFmtId="49" fontId="18" fillId="4" borderId="2" xfId="3" applyNumberFormat="1" applyFont="1" applyFill="1" applyBorder="1" applyAlignment="1" applyProtection="1">
      <alignment horizontal="center" vertical="center"/>
    </xf>
    <xf numFmtId="0" fontId="13" fillId="4" borderId="2" xfId="3" applyFont="1" applyFill="1" applyBorder="1" applyAlignment="1" applyProtection="1">
      <alignment vertical="center" wrapText="1"/>
    </xf>
    <xf numFmtId="0" fontId="13" fillId="4" borderId="2" xfId="3" applyFont="1" applyFill="1" applyBorder="1" applyAlignment="1" applyProtection="1">
      <alignment horizontal="center" vertical="center" wrapText="1"/>
    </xf>
    <xf numFmtId="3" fontId="13" fillId="4" borderId="2" xfId="3" applyNumberFormat="1" applyFont="1" applyFill="1" applyBorder="1" applyAlignment="1" applyProtection="1">
      <alignment horizontal="center" vertical="center"/>
    </xf>
    <xf numFmtId="4" fontId="12" fillId="4" borderId="2" xfId="4" applyNumberFormat="1" applyFont="1" applyFill="1" applyBorder="1" applyAlignment="1" applyProtection="1">
      <alignment horizontal="center" vertical="center" wrapText="1"/>
    </xf>
    <xf numFmtId="4" fontId="15" fillId="4" borderId="5" xfId="0" applyNumberFormat="1" applyFont="1" applyFill="1" applyBorder="1" applyAlignment="1" applyProtection="1">
      <alignment horizontal="center" vertical="center"/>
      <protection locked="0"/>
    </xf>
    <xf numFmtId="4" fontId="18" fillId="4" borderId="2" xfId="0" applyNumberFormat="1" applyFont="1" applyFill="1" applyBorder="1" applyAlignment="1" applyProtection="1">
      <alignment horizontal="center" vertical="center" wrapText="1"/>
      <protection locked="0"/>
    </xf>
    <xf numFmtId="4" fontId="16" fillId="4" borderId="2" xfId="3" applyNumberFormat="1" applyFont="1" applyFill="1" applyBorder="1" applyAlignment="1" applyProtection="1">
      <alignment horizontal="center" vertical="center"/>
    </xf>
    <xf numFmtId="4" fontId="18" fillId="4" borderId="2" xfId="0" applyNumberFormat="1" applyFont="1" applyFill="1" applyBorder="1" applyAlignment="1" applyProtection="1">
      <alignment horizontal="center" vertical="center" wrapText="1"/>
    </xf>
    <xf numFmtId="4" fontId="12" fillId="4" borderId="2" xfId="3" applyNumberFormat="1" applyFont="1" applyFill="1" applyBorder="1" applyAlignment="1" applyProtection="1">
      <alignment horizontal="center" vertical="center" wrapText="1"/>
    </xf>
    <xf numFmtId="4" fontId="16" fillId="4" borderId="3" xfId="3" applyNumberFormat="1" applyFont="1" applyFill="1" applyBorder="1" applyAlignment="1" applyProtection="1">
      <alignment horizontal="center" vertical="center"/>
    </xf>
    <xf numFmtId="4" fontId="13" fillId="4" borderId="2" xfId="0" applyNumberFormat="1" applyFont="1" applyFill="1" applyBorder="1" applyAlignment="1" applyProtection="1">
      <alignment horizontal="center" vertical="center"/>
    </xf>
    <xf numFmtId="4" fontId="15" fillId="4" borderId="2" xfId="0" applyNumberFormat="1" applyFont="1" applyFill="1" applyBorder="1" applyAlignment="1" applyProtection="1">
      <alignment vertical="center" wrapText="1"/>
    </xf>
    <xf numFmtId="4" fontId="15" fillId="4" borderId="2" xfId="0" applyNumberFormat="1" applyFont="1" applyFill="1" applyBorder="1" applyAlignment="1" applyProtection="1">
      <alignment horizontal="center" vertical="center"/>
    </xf>
    <xf numFmtId="4" fontId="5" fillId="0" borderId="0" xfId="0" applyNumberFormat="1" applyFont="1" applyAlignment="1" applyProtection="1">
      <alignment horizontal="center" vertical="center" wrapText="1"/>
    </xf>
    <xf numFmtId="4" fontId="10" fillId="2" borderId="2" xfId="0" applyNumberFormat="1" applyFont="1" applyFill="1" applyBorder="1" applyAlignment="1" applyProtection="1">
      <alignment horizontal="center" vertical="center" wrapText="1"/>
    </xf>
    <xf numFmtId="49" fontId="10" fillId="2" borderId="15" xfId="0" applyNumberFormat="1" applyFont="1" applyFill="1" applyBorder="1" applyAlignment="1" applyProtection="1">
      <alignment horizontal="center" vertical="center" wrapText="1"/>
    </xf>
    <xf numFmtId="49" fontId="10" fillId="2" borderId="16" xfId="0" applyNumberFormat="1" applyFont="1" applyFill="1" applyBorder="1" applyAlignment="1" applyProtection="1">
      <alignment horizontal="center" vertical="center" wrapText="1"/>
    </xf>
    <xf numFmtId="49" fontId="10" fillId="2" borderId="13" xfId="0" applyNumberFormat="1" applyFont="1" applyFill="1" applyBorder="1" applyAlignment="1" applyProtection="1">
      <alignment horizontal="center" vertical="center" wrapText="1"/>
    </xf>
    <xf numFmtId="0" fontId="12" fillId="12" borderId="2" xfId="3" applyFont="1" applyFill="1" applyBorder="1" applyAlignment="1" applyProtection="1">
      <alignment vertical="center" wrapText="1"/>
    </xf>
    <xf numFmtId="164" fontId="12" fillId="12" borderId="2" xfId="4" applyNumberFormat="1" applyFont="1" applyFill="1" applyBorder="1" applyAlignment="1" applyProtection="1">
      <alignment horizontal="center" vertical="center" wrapText="1"/>
    </xf>
    <xf numFmtId="0" fontId="15" fillId="4" borderId="0" xfId="0" applyFont="1" applyFill="1" applyProtection="1"/>
    <xf numFmtId="0" fontId="15" fillId="9" borderId="0" xfId="0" applyFont="1" applyFill="1" applyProtection="1"/>
    <xf numFmtId="4" fontId="15" fillId="0" borderId="26" xfId="0" applyNumberFormat="1" applyFont="1" applyFill="1" applyBorder="1" applyAlignment="1" applyProtection="1">
      <alignment horizontal="center" vertical="center"/>
    </xf>
    <xf numFmtId="4" fontId="15" fillId="0" borderId="26" xfId="0" applyNumberFormat="1" applyFont="1" applyFill="1" applyBorder="1" applyAlignment="1" applyProtection="1">
      <alignment horizontal="center" vertical="center" wrapText="1"/>
    </xf>
    <xf numFmtId="4" fontId="12" fillId="0" borderId="26" xfId="4" applyNumberFormat="1" applyFont="1" applyFill="1" applyBorder="1" applyAlignment="1" applyProtection="1">
      <alignment horizontal="center" vertical="center" wrapText="1"/>
    </xf>
    <xf numFmtId="4" fontId="15" fillId="11" borderId="27" xfId="0" applyNumberFormat="1" applyFont="1" applyFill="1" applyBorder="1" applyAlignment="1" applyProtection="1">
      <alignment horizontal="center" vertical="center"/>
      <protection locked="0"/>
    </xf>
    <xf numFmtId="4" fontId="18" fillId="0" borderId="26" xfId="0" applyNumberFormat="1" applyFont="1" applyFill="1" applyBorder="1" applyAlignment="1" applyProtection="1">
      <alignment horizontal="center" vertical="center" wrapText="1"/>
      <protection locked="0"/>
    </xf>
    <xf numFmtId="0" fontId="12" fillId="0" borderId="27" xfId="2" applyFont="1" applyFill="1" applyBorder="1" applyAlignment="1" applyProtection="1">
      <alignment horizontal="center" vertical="center"/>
    </xf>
    <xf numFmtId="3" fontId="13" fillId="0" borderId="26" xfId="3" applyNumberFormat="1" applyFont="1" applyFill="1" applyBorder="1" applyAlignment="1" applyProtection="1">
      <alignment horizontal="center" vertical="center"/>
    </xf>
    <xf numFmtId="4" fontId="12" fillId="0" borderId="28" xfId="2" applyNumberFormat="1" applyFont="1" applyFill="1" applyBorder="1" applyAlignment="1" applyProtection="1">
      <alignment horizontal="center" vertical="center" wrapText="1"/>
    </xf>
    <xf numFmtId="49" fontId="18" fillId="0" borderId="25" xfId="3" applyNumberFormat="1" applyFont="1" applyFill="1" applyBorder="1" applyAlignment="1" applyProtection="1">
      <alignment horizontal="center" vertical="center"/>
    </xf>
    <xf numFmtId="49" fontId="18" fillId="0" borderId="26" xfId="3" applyNumberFormat="1" applyFont="1" applyFill="1" applyBorder="1" applyAlignment="1" applyProtection="1">
      <alignment horizontal="center" vertical="center"/>
    </xf>
    <xf numFmtId="4" fontId="13" fillId="0" borderId="28" xfId="2" applyNumberFormat="1" applyFont="1" applyFill="1" applyBorder="1" applyAlignment="1" applyProtection="1">
      <alignment horizontal="center" vertical="center" wrapText="1"/>
    </xf>
    <xf numFmtId="4" fontId="13" fillId="0" borderId="26" xfId="2" applyNumberFormat="1" applyFont="1" applyFill="1" applyBorder="1" applyAlignment="1" applyProtection="1">
      <alignment horizontal="center" vertical="center" wrapText="1"/>
    </xf>
    <xf numFmtId="0" fontId="15" fillId="0" borderId="26" xfId="0" applyFont="1" applyBorder="1"/>
    <xf numFmtId="4" fontId="10" fillId="0" borderId="5" xfId="0" applyNumberFormat="1" applyFont="1" applyFill="1" applyBorder="1" applyAlignment="1" applyProtection="1">
      <alignment horizontal="center" vertical="center"/>
      <protection locked="0"/>
    </xf>
    <xf numFmtId="4" fontId="16" fillId="0" borderId="2" xfId="0" applyNumberFormat="1" applyFont="1" applyFill="1" applyBorder="1" applyAlignment="1" applyProtection="1">
      <alignment horizontal="center" vertical="center" wrapText="1"/>
      <protection locked="0"/>
    </xf>
    <xf numFmtId="4" fontId="16" fillId="0" borderId="2" xfId="0" applyNumberFormat="1" applyFont="1" applyFill="1" applyBorder="1" applyAlignment="1" applyProtection="1">
      <alignment horizontal="center" vertical="center" wrapText="1"/>
    </xf>
    <xf numFmtId="165" fontId="15" fillId="0" borderId="2" xfId="0" applyNumberFormat="1" applyFont="1" applyFill="1" applyBorder="1" applyAlignment="1" applyProtection="1">
      <alignment horizontal="center" vertical="center" wrapText="1"/>
    </xf>
    <xf numFmtId="165" fontId="12" fillId="0" borderId="2" xfId="4" applyNumberFormat="1" applyFont="1" applyFill="1" applyBorder="1" applyAlignment="1" applyProtection="1">
      <alignment horizontal="center" vertical="center" wrapText="1"/>
    </xf>
    <xf numFmtId="0" fontId="15" fillId="0" borderId="26" xfId="0" applyFont="1" applyFill="1" applyBorder="1"/>
    <xf numFmtId="4" fontId="22" fillId="0" borderId="26" xfId="4" applyNumberFormat="1" applyFont="1" applyFill="1" applyBorder="1" applyAlignment="1" applyProtection="1">
      <alignment horizontal="center" vertical="center" wrapText="1"/>
    </xf>
    <xf numFmtId="4" fontId="15" fillId="0" borderId="26" xfId="0" applyNumberFormat="1" applyFont="1" applyBorder="1" applyAlignment="1" applyProtection="1">
      <alignment horizontal="center" vertical="center"/>
      <protection locked="0"/>
    </xf>
    <xf numFmtId="4" fontId="13" fillId="0" borderId="26" xfId="0" applyNumberFormat="1" applyFont="1" applyFill="1" applyBorder="1" applyAlignment="1" applyProtection="1">
      <alignment horizontal="center" vertical="center"/>
    </xf>
    <xf numFmtId="4" fontId="13" fillId="0" borderId="26" xfId="0" applyNumberFormat="1" applyFont="1" applyFill="1" applyBorder="1" applyAlignment="1" applyProtection="1">
      <alignment horizontal="center" vertical="center" wrapText="1"/>
    </xf>
    <xf numFmtId="4" fontId="15" fillId="11" borderId="26" xfId="0" applyNumberFormat="1" applyFont="1" applyFill="1" applyBorder="1" applyAlignment="1" applyProtection="1">
      <alignment horizontal="center" vertical="center"/>
      <protection locked="0"/>
    </xf>
    <xf numFmtId="4" fontId="15" fillId="0" borderId="26" xfId="0" applyNumberFormat="1" applyFont="1" applyBorder="1" applyAlignment="1" applyProtection="1">
      <alignment horizontal="center" vertical="center"/>
    </xf>
    <xf numFmtId="4" fontId="15" fillId="0" borderId="26" xfId="0" applyNumberFormat="1" applyFont="1" applyBorder="1" applyAlignment="1" applyProtection="1">
      <alignment horizontal="center" vertical="center" wrapText="1"/>
    </xf>
    <xf numFmtId="0" fontId="12" fillId="4" borderId="27" xfId="2" applyFont="1" applyFill="1" applyBorder="1" applyAlignment="1" applyProtection="1">
      <alignment horizontal="center" vertical="center"/>
    </xf>
    <xf numFmtId="0" fontId="15" fillId="4" borderId="26" xfId="0" applyFont="1" applyFill="1" applyBorder="1" applyProtection="1"/>
    <xf numFmtId="3" fontId="13" fillId="4" borderId="26" xfId="3" applyNumberFormat="1" applyFont="1" applyFill="1" applyBorder="1" applyAlignment="1" applyProtection="1">
      <alignment horizontal="center" vertical="center"/>
    </xf>
    <xf numFmtId="4" fontId="13" fillId="4" borderId="28" xfId="2" applyNumberFormat="1" applyFont="1" applyFill="1" applyBorder="1" applyAlignment="1" applyProtection="1">
      <alignment horizontal="center" vertical="center" wrapText="1"/>
    </xf>
    <xf numFmtId="4" fontId="13" fillId="4" borderId="26" xfId="2" applyNumberFormat="1" applyFont="1" applyFill="1" applyBorder="1" applyAlignment="1" applyProtection="1">
      <alignment horizontal="center" vertical="center" wrapText="1"/>
    </xf>
    <xf numFmtId="4" fontId="12" fillId="4" borderId="28" xfId="2" applyNumberFormat="1" applyFont="1" applyFill="1" applyBorder="1" applyAlignment="1" applyProtection="1">
      <alignment horizontal="center" vertical="center" wrapText="1"/>
    </xf>
    <xf numFmtId="4" fontId="18" fillId="4" borderId="26" xfId="0" applyNumberFormat="1" applyFont="1" applyFill="1" applyBorder="1" applyAlignment="1" applyProtection="1">
      <alignment horizontal="center" vertical="center" wrapText="1"/>
      <protection locked="0"/>
    </xf>
    <xf numFmtId="49" fontId="3" fillId="0" borderId="0" xfId="0" applyNumberFormat="1" applyFont="1" applyAlignment="1" applyProtection="1">
      <alignment horizontal="center" vertical="center"/>
    </xf>
    <xf numFmtId="4" fontId="3" fillId="0" borderId="0" xfId="0" applyNumberFormat="1" applyFont="1" applyAlignment="1" applyProtection="1">
      <alignment horizontal="right" vertical="center" wrapText="1"/>
    </xf>
    <xf numFmtId="4" fontId="3" fillId="0" borderId="0" xfId="0" applyNumberFormat="1" applyFont="1" applyAlignment="1" applyProtection="1">
      <alignment horizontal="center" vertical="center" wrapText="1"/>
    </xf>
    <xf numFmtId="4" fontId="3" fillId="0" borderId="0" xfId="0" applyNumberFormat="1" applyFont="1" applyAlignment="1" applyProtection="1">
      <alignment horizontal="right" vertical="center"/>
    </xf>
    <xf numFmtId="0" fontId="3" fillId="0" borderId="0" xfId="0" applyFont="1" applyProtection="1"/>
    <xf numFmtId="49" fontId="15" fillId="0" borderId="0" xfId="0" applyNumberFormat="1" applyFont="1" applyAlignment="1" applyProtection="1">
      <alignment horizontal="center" vertical="center"/>
    </xf>
    <xf numFmtId="4" fontId="15" fillId="0" borderId="0" xfId="0" applyNumberFormat="1" applyFont="1" applyAlignment="1" applyProtection="1">
      <alignment horizontal="right" vertical="center" wrapText="1"/>
    </xf>
    <xf numFmtId="4" fontId="15" fillId="0" borderId="0" xfId="0" applyNumberFormat="1" applyFont="1" applyAlignment="1" applyProtection="1">
      <alignment horizontal="center" vertical="center" wrapText="1"/>
    </xf>
    <xf numFmtId="4" fontId="15" fillId="0" borderId="0" xfId="0" applyNumberFormat="1" applyFont="1" applyAlignment="1" applyProtection="1">
      <alignment horizontal="right" vertical="center"/>
    </xf>
    <xf numFmtId="0" fontId="15" fillId="7" borderId="0" xfId="0" applyFont="1" applyFill="1" applyProtection="1"/>
    <xf numFmtId="0" fontId="15" fillId="5" borderId="0" xfId="0" applyFont="1" applyFill="1" applyProtection="1"/>
    <xf numFmtId="0" fontId="15" fillId="8" borderId="0" xfId="0" applyFont="1" applyFill="1" applyProtection="1">
      <protection locked="0"/>
    </xf>
    <xf numFmtId="0" fontId="15" fillId="8" borderId="0" xfId="0" applyFont="1" applyFill="1" applyProtection="1"/>
    <xf numFmtId="0" fontId="15" fillId="0" borderId="0" xfId="0" applyFont="1" applyFill="1" applyProtection="1">
      <protection locked="0"/>
    </xf>
    <xf numFmtId="0" fontId="30" fillId="0" borderId="2" xfId="0" applyFont="1" applyFill="1" applyBorder="1" applyProtection="1">
      <protection locked="0"/>
    </xf>
    <xf numFmtId="0" fontId="13" fillId="0" borderId="0" xfId="0" applyFont="1" applyProtection="1">
      <protection locked="0"/>
    </xf>
    <xf numFmtId="0" fontId="13" fillId="0" borderId="0" xfId="0" applyFont="1" applyProtection="1"/>
    <xf numFmtId="0" fontId="15" fillId="0" borderId="0" xfId="0" applyFont="1" applyProtection="1">
      <protection locked="0"/>
    </xf>
    <xf numFmtId="0" fontId="31" fillId="0" borderId="2" xfId="0" applyFont="1" applyFill="1" applyBorder="1" applyProtection="1">
      <protection locked="0"/>
    </xf>
    <xf numFmtId="0" fontId="31" fillId="8" borderId="2" xfId="0" applyFont="1" applyFill="1" applyBorder="1" applyProtection="1">
      <protection locked="0"/>
    </xf>
    <xf numFmtId="0" fontId="31" fillId="0" borderId="2" xfId="0" applyFont="1" applyBorder="1" applyProtection="1">
      <protection locked="0"/>
    </xf>
    <xf numFmtId="0" fontId="30" fillId="0" borderId="2" xfId="0" applyFont="1" applyBorder="1" applyProtection="1">
      <protection locked="0"/>
    </xf>
    <xf numFmtId="0" fontId="31" fillId="7" borderId="2" xfId="0" applyFont="1" applyFill="1" applyBorder="1" applyProtection="1">
      <protection locked="0"/>
    </xf>
    <xf numFmtId="0" fontId="15" fillId="7" borderId="0" xfId="0" applyFont="1" applyFill="1" applyProtection="1">
      <protection locked="0"/>
    </xf>
    <xf numFmtId="0" fontId="29" fillId="8" borderId="2" xfId="0" applyFont="1" applyFill="1" applyBorder="1" applyProtection="1">
      <protection locked="0"/>
    </xf>
    <xf numFmtId="0" fontId="10" fillId="8" borderId="0" xfId="0" applyFont="1" applyFill="1" applyProtection="1">
      <protection locked="0"/>
    </xf>
    <xf numFmtId="0" fontId="10" fillId="8" borderId="0" xfId="0" applyFont="1" applyFill="1" applyProtection="1"/>
    <xf numFmtId="0" fontId="31" fillId="0" borderId="26" xfId="0" applyFont="1" applyFill="1" applyBorder="1" applyProtection="1">
      <protection locked="0"/>
    </xf>
    <xf numFmtId="0" fontId="15" fillId="4" borderId="0" xfId="0" applyFont="1" applyFill="1" applyProtection="1">
      <protection locked="0"/>
    </xf>
    <xf numFmtId="49" fontId="15" fillId="0" borderId="26" xfId="0" applyNumberFormat="1" applyFont="1" applyBorder="1" applyAlignment="1">
      <alignment horizontal="center" vertical="center"/>
    </xf>
    <xf numFmtId="0" fontId="15" fillId="0" borderId="26" xfId="0" applyFont="1" applyFill="1" applyBorder="1" applyAlignment="1">
      <alignment horizontal="center" vertical="center"/>
    </xf>
    <xf numFmtId="0" fontId="15" fillId="9" borderId="0" xfId="0" applyFont="1" applyFill="1" applyProtection="1">
      <protection locked="0"/>
    </xf>
    <xf numFmtId="0" fontId="13" fillId="0" borderId="0" xfId="0" applyFont="1" applyFill="1" applyProtection="1">
      <protection locked="0"/>
    </xf>
    <xf numFmtId="0" fontId="13" fillId="0" borderId="0" xfId="0" applyFont="1" applyFill="1" applyProtection="1"/>
    <xf numFmtId="0" fontId="30" fillId="4" borderId="2" xfId="0" applyFont="1" applyFill="1" applyBorder="1" applyProtection="1">
      <protection locked="0"/>
    </xf>
    <xf numFmtId="0" fontId="13" fillId="4" borderId="0" xfId="0" applyFont="1" applyFill="1" applyProtection="1">
      <protection locked="0"/>
    </xf>
    <xf numFmtId="0" fontId="13" fillId="4" borderId="0" xfId="0" applyFont="1" applyFill="1" applyProtection="1"/>
    <xf numFmtId="0" fontId="31" fillId="4" borderId="26" xfId="0" applyFont="1" applyFill="1" applyBorder="1" applyProtection="1">
      <protection locked="0"/>
    </xf>
    <xf numFmtId="0" fontId="31" fillId="0" borderId="0" xfId="0" applyFont="1" applyProtection="1">
      <protection locked="0"/>
    </xf>
    <xf numFmtId="0" fontId="10" fillId="4" borderId="0" xfId="0" applyFont="1" applyFill="1" applyProtection="1">
      <protection locked="0"/>
    </xf>
    <xf numFmtId="0" fontId="29" fillId="4" borderId="0" xfId="0" applyFont="1" applyFill="1" applyProtection="1">
      <protection locked="0"/>
    </xf>
    <xf numFmtId="0" fontId="15" fillId="4" borderId="29" xfId="0" applyFont="1" applyFill="1" applyBorder="1"/>
    <xf numFmtId="0" fontId="15" fillId="0" borderId="26" xfId="0" applyFont="1" applyFill="1" applyBorder="1" applyAlignment="1">
      <alignment wrapText="1"/>
    </xf>
    <xf numFmtId="4" fontId="15" fillId="6" borderId="3" xfId="0" applyNumberFormat="1" applyFont="1" applyFill="1" applyBorder="1" applyAlignment="1" applyProtection="1">
      <alignment horizontal="center" vertical="center" wrapText="1"/>
    </xf>
    <xf numFmtId="4" fontId="15" fillId="10" borderId="3" xfId="0" applyNumberFormat="1" applyFont="1" applyFill="1" applyBorder="1" applyAlignment="1" applyProtection="1">
      <alignment horizontal="center" vertical="center" wrapText="1"/>
    </xf>
    <xf numFmtId="4" fontId="13" fillId="7" borderId="3" xfId="2" applyNumberFormat="1" applyFont="1" applyFill="1" applyBorder="1" applyAlignment="1" applyProtection="1">
      <alignment horizontal="center" vertical="center" wrapText="1"/>
    </xf>
    <xf numFmtId="4" fontId="15" fillId="3" borderId="3" xfId="1" applyNumberFormat="1" applyFont="1" applyFill="1" applyBorder="1" applyAlignment="1" applyProtection="1">
      <alignment horizontal="center" vertical="center" wrapText="1"/>
    </xf>
    <xf numFmtId="4" fontId="15" fillId="3" borderId="8" xfId="1" applyNumberFormat="1" applyFont="1" applyFill="1" applyBorder="1" applyAlignment="1" applyProtection="1">
      <alignment horizontal="center" vertical="center" wrapText="1"/>
    </xf>
    <xf numFmtId="0" fontId="31" fillId="4" borderId="2" xfId="0" applyFont="1" applyFill="1" applyBorder="1" applyProtection="1">
      <protection locked="0"/>
    </xf>
    <xf numFmtId="0" fontId="15" fillId="0" borderId="26" xfId="0" applyFont="1" applyBorder="1" applyAlignment="1">
      <alignment wrapText="1"/>
    </xf>
    <xf numFmtId="4" fontId="15" fillId="14" borderId="5" xfId="0" applyNumberFormat="1" applyFont="1" applyFill="1" applyBorder="1" applyAlignment="1" applyProtection="1">
      <alignment horizontal="center" vertical="center"/>
      <protection locked="0"/>
    </xf>
    <xf numFmtId="4" fontId="18" fillId="14" borderId="2" xfId="0" applyNumberFormat="1" applyFont="1" applyFill="1" applyBorder="1" applyAlignment="1" applyProtection="1">
      <alignment horizontal="center" vertical="center" wrapText="1"/>
      <protection locked="0"/>
    </xf>
    <xf numFmtId="4" fontId="16" fillId="14" borderId="2" xfId="3" applyNumberFormat="1" applyFont="1" applyFill="1" applyBorder="1" applyAlignment="1" applyProtection="1">
      <alignment horizontal="center" vertical="center"/>
    </xf>
    <xf numFmtId="4" fontId="18" fillId="14" borderId="2" xfId="0" applyNumberFormat="1" applyFont="1" applyFill="1" applyBorder="1" applyAlignment="1" applyProtection="1">
      <alignment horizontal="center" vertical="center" wrapText="1"/>
    </xf>
    <xf numFmtId="4" fontId="12" fillId="14" borderId="2" xfId="3" applyNumberFormat="1" applyFont="1" applyFill="1" applyBorder="1" applyAlignment="1" applyProtection="1">
      <alignment horizontal="center" vertical="center" wrapText="1"/>
    </xf>
    <xf numFmtId="4" fontId="16" fillId="14" borderId="3" xfId="3" applyNumberFormat="1" applyFont="1" applyFill="1" applyBorder="1" applyAlignment="1" applyProtection="1">
      <alignment horizontal="center" vertical="center"/>
    </xf>
    <xf numFmtId="4" fontId="30" fillId="14" borderId="2" xfId="5" applyNumberFormat="1" applyFont="1" applyFill="1" applyBorder="1" applyAlignment="1" applyProtection="1">
      <alignment horizontal="center" vertical="center" wrapText="1"/>
      <protection locked="0"/>
    </xf>
    <xf numFmtId="0" fontId="15" fillId="14" borderId="0" xfId="0" applyFont="1" applyFill="1" applyProtection="1">
      <protection locked="0"/>
    </xf>
    <xf numFmtId="0" fontId="15" fillId="14" borderId="0" xfId="0" applyFont="1" applyFill="1" applyProtection="1"/>
    <xf numFmtId="0" fontId="30" fillId="14" borderId="2" xfId="0" applyFont="1" applyFill="1" applyBorder="1" applyProtection="1">
      <protection locked="0"/>
    </xf>
    <xf numFmtId="0" fontId="13" fillId="14" borderId="0" xfId="0" applyFont="1" applyFill="1" applyProtection="1">
      <protection locked="0"/>
    </xf>
    <xf numFmtId="0" fontId="13" fillId="14" borderId="0" xfId="0" applyFont="1" applyFill="1" applyProtection="1"/>
    <xf numFmtId="4" fontId="15" fillId="14" borderId="22" xfId="0" applyNumberFormat="1" applyFont="1" applyFill="1" applyBorder="1" applyAlignment="1" applyProtection="1">
      <alignment horizontal="center" vertical="center"/>
      <protection locked="0"/>
    </xf>
    <xf numFmtId="4" fontId="18" fillId="14" borderId="21" xfId="0" applyNumberFormat="1" applyFont="1" applyFill="1" applyBorder="1" applyAlignment="1" applyProtection="1">
      <alignment horizontal="center" vertical="center" wrapText="1"/>
      <protection locked="0"/>
    </xf>
    <xf numFmtId="0" fontId="30" fillId="14" borderId="21" xfId="0" applyFont="1" applyFill="1" applyBorder="1" applyProtection="1">
      <protection locked="0"/>
    </xf>
    <xf numFmtId="4" fontId="15" fillId="15" borderId="27" xfId="0" applyNumberFormat="1" applyFont="1" applyFill="1" applyBorder="1" applyAlignment="1" applyProtection="1">
      <alignment horizontal="center" vertical="center"/>
      <protection locked="0"/>
    </xf>
    <xf numFmtId="4" fontId="18" fillId="15" borderId="26" xfId="0" applyNumberFormat="1" applyFont="1" applyFill="1" applyBorder="1" applyAlignment="1" applyProtection="1">
      <alignment horizontal="center" vertical="center" wrapText="1"/>
      <protection locked="0"/>
    </xf>
    <xf numFmtId="4" fontId="16" fillId="15" borderId="2" xfId="3" applyNumberFormat="1" applyFont="1" applyFill="1" applyBorder="1" applyAlignment="1" applyProtection="1">
      <alignment horizontal="center" vertical="center"/>
    </xf>
    <xf numFmtId="4" fontId="18" fillId="15" borderId="2" xfId="0" applyNumberFormat="1" applyFont="1" applyFill="1" applyBorder="1" applyAlignment="1" applyProtection="1">
      <alignment horizontal="center" vertical="center" wrapText="1"/>
    </xf>
    <xf numFmtId="4" fontId="12" fillId="15" borderId="2" xfId="3" applyNumberFormat="1" applyFont="1" applyFill="1" applyBorder="1" applyAlignment="1" applyProtection="1">
      <alignment horizontal="center" vertical="center" wrapText="1"/>
    </xf>
    <xf numFmtId="4" fontId="16" fillId="15" borderId="3" xfId="3" applyNumberFormat="1" applyFont="1" applyFill="1" applyBorder="1" applyAlignment="1" applyProtection="1">
      <alignment horizontal="center" vertical="center"/>
    </xf>
    <xf numFmtId="0" fontId="31" fillId="15" borderId="26" xfId="0" applyFont="1" applyFill="1" applyBorder="1" applyProtection="1">
      <protection locked="0"/>
    </xf>
    <xf numFmtId="0" fontId="15" fillId="15" borderId="0" xfId="0" applyFont="1" applyFill="1" applyProtection="1">
      <protection locked="0"/>
    </xf>
    <xf numFmtId="0" fontId="15" fillId="15" borderId="0" xfId="0" applyFont="1" applyFill="1" applyProtection="1"/>
    <xf numFmtId="49" fontId="18" fillId="0" borderId="30" xfId="3" applyNumberFormat="1" applyFont="1" applyFill="1" applyBorder="1" applyAlignment="1" applyProtection="1">
      <alignment horizontal="center" vertical="center"/>
    </xf>
    <xf numFmtId="49" fontId="18" fillId="0" borderId="31" xfId="3" applyNumberFormat="1" applyFont="1" applyFill="1" applyBorder="1" applyAlignment="1" applyProtection="1">
      <alignment horizontal="center" vertical="center"/>
    </xf>
    <xf numFmtId="0" fontId="12" fillId="0" borderId="32" xfId="2" applyFont="1" applyFill="1" applyBorder="1" applyAlignment="1" applyProtection="1">
      <alignment horizontal="center" vertical="center"/>
    </xf>
    <xf numFmtId="3" fontId="13" fillId="0" borderId="31" xfId="3" applyNumberFormat="1" applyFont="1" applyFill="1" applyBorder="1" applyAlignment="1" applyProtection="1">
      <alignment horizontal="center" vertical="center"/>
    </xf>
    <xf numFmtId="4" fontId="15" fillId="0" borderId="32" xfId="0" applyNumberFormat="1" applyFont="1" applyFill="1" applyBorder="1" applyAlignment="1" applyProtection="1">
      <alignment horizontal="center" vertical="center"/>
      <protection locked="0"/>
    </xf>
    <xf numFmtId="4" fontId="18" fillId="0" borderId="31" xfId="0" applyNumberFormat="1" applyFont="1" applyFill="1" applyBorder="1" applyAlignment="1" applyProtection="1">
      <alignment horizontal="center" vertical="center" wrapText="1"/>
      <protection locked="0"/>
    </xf>
    <xf numFmtId="0" fontId="31" fillId="0" borderId="31" xfId="0" applyFont="1" applyFill="1" applyBorder="1" applyProtection="1">
      <protection locked="0"/>
    </xf>
    <xf numFmtId="49" fontId="18" fillId="5" borderId="31" xfId="3" applyNumberFormat="1" applyFont="1" applyFill="1" applyBorder="1" applyAlignment="1" applyProtection="1">
      <alignment horizontal="center" vertical="center"/>
    </xf>
    <xf numFmtId="0" fontId="12" fillId="5" borderId="32" xfId="2" applyFont="1" applyFill="1" applyBorder="1" applyAlignment="1" applyProtection="1">
      <alignment horizontal="center" vertical="center"/>
    </xf>
    <xf numFmtId="0" fontId="13" fillId="5" borderId="31" xfId="3" applyFont="1" applyFill="1" applyBorder="1" applyAlignment="1" applyProtection="1">
      <alignment horizontal="center" vertical="center" wrapText="1"/>
    </xf>
    <xf numFmtId="3" fontId="13" fillId="5" borderId="31" xfId="3" applyNumberFormat="1" applyFont="1" applyFill="1" applyBorder="1" applyAlignment="1" applyProtection="1">
      <alignment horizontal="center" vertical="center"/>
    </xf>
    <xf numFmtId="4" fontId="13" fillId="5" borderId="34" xfId="2" applyNumberFormat="1" applyFont="1" applyFill="1" applyBorder="1" applyAlignment="1" applyProtection="1">
      <alignment horizontal="center" vertical="center" wrapText="1"/>
    </xf>
    <xf numFmtId="4" fontId="18" fillId="5" borderId="31" xfId="0" applyNumberFormat="1" applyFont="1" applyFill="1" applyBorder="1" applyAlignment="1" applyProtection="1">
      <alignment horizontal="center" vertical="center" wrapText="1"/>
      <protection locked="0"/>
    </xf>
    <xf numFmtId="0" fontId="31" fillId="5" borderId="31" xfId="0" applyFont="1" applyFill="1" applyBorder="1" applyProtection="1">
      <protection locked="0"/>
    </xf>
    <xf numFmtId="0" fontId="15" fillId="5" borderId="0" xfId="0" applyFont="1" applyFill="1" applyProtection="1">
      <protection locked="0"/>
    </xf>
    <xf numFmtId="49" fontId="16" fillId="5" borderId="30" xfId="3" applyNumberFormat="1" applyFont="1" applyFill="1" applyBorder="1" applyAlignment="1" applyProtection="1">
      <alignment horizontal="center" vertical="center"/>
    </xf>
    <xf numFmtId="49" fontId="16" fillId="5" borderId="31" xfId="3" applyNumberFormat="1" applyFont="1" applyFill="1" applyBorder="1" applyAlignment="1" applyProtection="1">
      <alignment horizontal="center" vertical="center"/>
    </xf>
    <xf numFmtId="0" fontId="12" fillId="5" borderId="31" xfId="3" applyFont="1" applyFill="1" applyBorder="1" applyAlignment="1" applyProtection="1">
      <alignment horizontal="center" vertical="center" wrapText="1"/>
    </xf>
    <xf numFmtId="3" fontId="12" fillId="5" borderId="31" xfId="3" applyNumberFormat="1" applyFont="1" applyFill="1" applyBorder="1" applyAlignment="1" applyProtection="1">
      <alignment horizontal="center" vertical="center"/>
    </xf>
    <xf numFmtId="4" fontId="12" fillId="5" borderId="34" xfId="2" applyNumberFormat="1" applyFont="1" applyFill="1" applyBorder="1" applyAlignment="1" applyProtection="1">
      <alignment horizontal="center" vertical="center" wrapText="1"/>
    </xf>
    <xf numFmtId="4" fontId="16" fillId="5" borderId="31" xfId="0" applyNumberFormat="1" applyFont="1" applyFill="1" applyBorder="1" applyAlignment="1" applyProtection="1">
      <alignment horizontal="center" vertical="center" wrapText="1"/>
      <protection locked="0"/>
    </xf>
    <xf numFmtId="0" fontId="29" fillId="5" borderId="31" xfId="0" applyFont="1" applyFill="1" applyBorder="1" applyProtection="1">
      <protection locked="0"/>
    </xf>
    <xf numFmtId="0" fontId="10" fillId="5" borderId="0" xfId="0" applyFont="1" applyFill="1" applyProtection="1">
      <protection locked="0"/>
    </xf>
    <xf numFmtId="0" fontId="10" fillId="5" borderId="0" xfId="0" applyFont="1" applyFill="1" applyProtection="1"/>
    <xf numFmtId="0" fontId="10" fillId="5" borderId="33" xfId="0" applyFont="1" applyFill="1" applyBorder="1" applyAlignment="1">
      <alignment horizontal="left" vertical="center"/>
    </xf>
    <xf numFmtId="4" fontId="12" fillId="5" borderId="31" xfId="2" applyNumberFormat="1" applyFont="1" applyFill="1" applyBorder="1" applyAlignment="1" applyProtection="1">
      <alignment horizontal="center" vertical="center" wrapText="1"/>
    </xf>
    <xf numFmtId="4" fontId="13" fillId="0" borderId="31" xfId="2" applyNumberFormat="1" applyFont="1" applyFill="1" applyBorder="1" applyAlignment="1" applyProtection="1">
      <alignment horizontal="center" vertical="center" wrapText="1"/>
    </xf>
    <xf numFmtId="4" fontId="12" fillId="0" borderId="31" xfId="2" applyNumberFormat="1" applyFont="1" applyFill="1" applyBorder="1" applyAlignment="1" applyProtection="1">
      <alignment horizontal="center" vertical="center" wrapText="1"/>
    </xf>
    <xf numFmtId="0" fontId="15" fillId="0" borderId="33" xfId="0" applyFont="1" applyFill="1" applyBorder="1" applyAlignment="1">
      <alignment horizontal="justify"/>
    </xf>
    <xf numFmtId="4" fontId="13" fillId="5" borderId="31" xfId="2" applyNumberFormat="1" applyFont="1" applyFill="1" applyBorder="1" applyAlignment="1" applyProtection="1">
      <alignment horizontal="center" vertical="center" wrapText="1"/>
    </xf>
    <xf numFmtId="0" fontId="12" fillId="5" borderId="31" xfId="0" applyFont="1" applyFill="1" applyBorder="1" applyAlignment="1">
      <alignment horizontal="left" vertical="center" wrapText="1"/>
    </xf>
    <xf numFmtId="4" fontId="16" fillId="5" borderId="2" xfId="3" applyNumberFormat="1" applyFont="1" applyFill="1" applyBorder="1" applyAlignment="1" applyProtection="1">
      <alignment horizontal="center" vertical="center"/>
    </xf>
    <xf numFmtId="4" fontId="18" fillId="5" borderId="2" xfId="0" applyNumberFormat="1" applyFont="1" applyFill="1" applyBorder="1" applyAlignment="1" applyProtection="1">
      <alignment horizontal="center" vertical="center" wrapText="1"/>
    </xf>
    <xf numFmtId="4" fontId="12" fillId="5" borderId="2" xfId="3" applyNumberFormat="1" applyFont="1" applyFill="1" applyBorder="1" applyAlignment="1" applyProtection="1">
      <alignment horizontal="center" vertical="center" wrapText="1"/>
    </xf>
    <xf numFmtId="4" fontId="16" fillId="5" borderId="3" xfId="3" applyNumberFormat="1" applyFont="1" applyFill="1" applyBorder="1" applyAlignment="1" applyProtection="1">
      <alignment horizontal="center" vertical="center"/>
    </xf>
    <xf numFmtId="0" fontId="38" fillId="0" borderId="31" xfId="0" applyFont="1" applyFill="1" applyBorder="1"/>
    <xf numFmtId="0" fontId="13" fillId="0" borderId="31" xfId="2" applyFont="1" applyFill="1" applyBorder="1" applyAlignment="1">
      <alignment horizontal="left" vertical="center" wrapText="1"/>
    </xf>
    <xf numFmtId="4" fontId="15" fillId="11" borderId="32" xfId="0" applyNumberFormat="1" applyFont="1" applyFill="1" applyBorder="1" applyAlignment="1" applyProtection="1">
      <alignment horizontal="center" vertical="center"/>
      <protection locked="0"/>
    </xf>
    <xf numFmtId="4" fontId="10" fillId="11" borderId="32" xfId="0" applyNumberFormat="1" applyFont="1" applyFill="1" applyBorder="1" applyAlignment="1" applyProtection="1">
      <alignment horizontal="center" vertical="center"/>
      <protection locked="0"/>
    </xf>
    <xf numFmtId="4" fontId="13" fillId="4" borderId="31" xfId="2" applyNumberFormat="1" applyFont="1" applyFill="1" applyBorder="1" applyAlignment="1" applyProtection="1">
      <alignment horizontal="center" vertical="center" wrapText="1"/>
    </xf>
    <xf numFmtId="0" fontId="23" fillId="16" borderId="0" xfId="0" applyFont="1" applyFill="1" applyAlignment="1" applyProtection="1">
      <alignment vertical="center"/>
    </xf>
    <xf numFmtId="0" fontId="23" fillId="16" borderId="0" xfId="0" applyFont="1" applyFill="1" applyAlignment="1" applyProtection="1">
      <alignment horizontal="center" vertical="center"/>
    </xf>
    <xf numFmtId="4" fontId="23" fillId="16" borderId="0" xfId="0" applyNumberFormat="1" applyFont="1" applyFill="1" applyAlignment="1" applyProtection="1">
      <alignment horizontal="center" vertical="center"/>
    </xf>
    <xf numFmtId="4" fontId="24" fillId="16" borderId="0" xfId="0" applyNumberFormat="1" applyFont="1" applyFill="1" applyAlignment="1" applyProtection="1">
      <alignment horizontal="center" vertical="center"/>
    </xf>
    <xf numFmtId="4" fontId="33" fillId="16" borderId="0" xfId="0" applyNumberFormat="1" applyFont="1" applyFill="1" applyAlignment="1" applyProtection="1">
      <alignment horizontal="center" vertical="center"/>
    </xf>
    <xf numFmtId="4" fontId="27" fillId="16" borderId="0" xfId="0" applyNumberFormat="1" applyFont="1" applyFill="1" applyAlignment="1" applyProtection="1">
      <alignment horizontal="center" vertical="center"/>
    </xf>
    <xf numFmtId="0" fontId="27" fillId="16" borderId="0" xfId="0" applyFont="1" applyFill="1" applyAlignment="1" applyProtection="1">
      <alignment vertical="center"/>
    </xf>
    <xf numFmtId="0" fontId="34" fillId="16" borderId="0" xfId="0" applyFont="1" applyFill="1" applyAlignment="1" applyProtection="1">
      <alignment vertical="center"/>
      <protection locked="0"/>
    </xf>
    <xf numFmtId="0" fontId="27" fillId="16" borderId="0" xfId="0" applyFont="1" applyFill="1" applyAlignment="1" applyProtection="1">
      <alignment vertical="center"/>
      <protection locked="0"/>
    </xf>
    <xf numFmtId="0" fontId="24" fillId="16" borderId="0" xfId="0" applyFont="1" applyFill="1" applyAlignment="1" applyProtection="1">
      <alignment vertical="center"/>
    </xf>
    <xf numFmtId="0" fontId="9" fillId="16" borderId="0" xfId="0" applyFont="1" applyFill="1" applyAlignment="1" applyProtection="1">
      <alignment horizontal="center" vertical="center"/>
    </xf>
    <xf numFmtId="0" fontId="9" fillId="16" borderId="0" xfId="0" applyFont="1" applyFill="1" applyAlignment="1" applyProtection="1">
      <alignment vertical="center"/>
    </xf>
    <xf numFmtId="4" fontId="9" fillId="16" borderId="0" xfId="0" applyNumberFormat="1" applyFont="1" applyFill="1" applyAlignment="1" applyProtection="1">
      <alignment horizontal="center" vertical="center"/>
    </xf>
    <xf numFmtId="0" fontId="32" fillId="16" borderId="0" xfId="0" applyFont="1" applyFill="1" applyAlignment="1" applyProtection="1">
      <alignment vertical="center"/>
      <protection locked="0"/>
    </xf>
    <xf numFmtId="0" fontId="9" fillId="16" borderId="0" xfId="0" applyFont="1" applyFill="1" applyAlignment="1" applyProtection="1">
      <alignment vertical="center"/>
      <protection locked="0"/>
    </xf>
    <xf numFmtId="0" fontId="24" fillId="16" borderId="0" xfId="0" applyFont="1" applyFill="1" applyAlignment="1" applyProtection="1">
      <alignment horizontal="center" vertical="center"/>
    </xf>
    <xf numFmtId="4" fontId="25" fillId="16" borderId="0" xfId="0" applyNumberFormat="1" applyFont="1" applyFill="1" applyAlignment="1" applyProtection="1">
      <alignment horizontal="center" vertical="center"/>
    </xf>
    <xf numFmtId="49" fontId="24" fillId="16" borderId="0" xfId="0" applyNumberFormat="1" applyFont="1" applyFill="1" applyAlignment="1" applyProtection="1">
      <alignment vertical="center"/>
    </xf>
    <xf numFmtId="49" fontId="24" fillId="16" borderId="0" xfId="0" applyNumberFormat="1" applyFont="1" applyFill="1" applyAlignment="1" applyProtection="1">
      <alignment horizontal="center" vertical="center"/>
    </xf>
    <xf numFmtId="49" fontId="24" fillId="16" borderId="0" xfId="0" applyNumberFormat="1" applyFont="1" applyFill="1" applyAlignment="1" applyProtection="1">
      <alignment vertical="center" wrapText="1"/>
    </xf>
    <xf numFmtId="49" fontId="24" fillId="16" borderId="0" xfId="0" applyNumberFormat="1" applyFont="1" applyFill="1" applyAlignment="1" applyProtection="1">
      <alignment horizontal="left" vertical="center" wrapText="1"/>
    </xf>
    <xf numFmtId="0" fontId="32" fillId="16" borderId="0" xfId="0" applyFont="1" applyFill="1" applyAlignment="1" applyProtection="1">
      <alignment horizontal="center" vertical="center"/>
      <protection locked="0"/>
    </xf>
    <xf numFmtId="0" fontId="9" fillId="16" borderId="0" xfId="0" applyFont="1" applyFill="1" applyAlignment="1" applyProtection="1">
      <alignment horizontal="center" vertical="center"/>
      <protection locked="0"/>
    </xf>
    <xf numFmtId="49" fontId="18" fillId="0" borderId="35" xfId="3" applyNumberFormat="1" applyFont="1" applyFill="1" applyBorder="1" applyAlignment="1" applyProtection="1">
      <alignment horizontal="center" vertical="center"/>
    </xf>
    <xf numFmtId="49" fontId="18" fillId="0" borderId="36" xfId="3" applyNumberFormat="1" applyFont="1" applyFill="1" applyBorder="1" applyAlignment="1" applyProtection="1">
      <alignment horizontal="center" vertical="center"/>
    </xf>
    <xf numFmtId="4" fontId="13" fillId="0" borderId="36" xfId="2" applyNumberFormat="1" applyFont="1" applyFill="1" applyBorder="1" applyAlignment="1" applyProtection="1">
      <alignment horizontal="center" vertical="center" wrapText="1"/>
    </xf>
    <xf numFmtId="4" fontId="12" fillId="0" borderId="39" xfId="2" applyNumberFormat="1" applyFont="1" applyFill="1" applyBorder="1" applyAlignment="1" applyProtection="1">
      <alignment horizontal="center" vertical="center" wrapText="1"/>
    </xf>
    <xf numFmtId="4" fontId="15" fillId="11" borderId="37" xfId="0" applyNumberFormat="1" applyFont="1" applyFill="1" applyBorder="1" applyAlignment="1" applyProtection="1">
      <alignment horizontal="center" vertical="center"/>
      <protection locked="0"/>
    </xf>
    <xf numFmtId="4" fontId="18" fillId="0" borderId="36" xfId="0" applyNumberFormat="1" applyFont="1" applyFill="1" applyBorder="1" applyAlignment="1" applyProtection="1">
      <alignment horizontal="center" vertical="center" wrapText="1"/>
      <protection locked="0"/>
    </xf>
    <xf numFmtId="0" fontId="31" fillId="0" borderId="36" xfId="0" applyFont="1" applyFill="1" applyBorder="1" applyProtection="1">
      <protection locked="0"/>
    </xf>
    <xf numFmtId="49" fontId="18" fillId="5" borderId="36" xfId="3" applyNumberFormat="1" applyFont="1" applyFill="1" applyBorder="1" applyAlignment="1" applyProtection="1">
      <alignment horizontal="center" vertical="center"/>
    </xf>
    <xf numFmtId="0" fontId="12" fillId="5" borderId="37" xfId="2" applyFont="1" applyFill="1" applyBorder="1" applyAlignment="1" applyProtection="1">
      <alignment horizontal="center" vertical="center"/>
    </xf>
    <xf numFmtId="3" fontId="13" fillId="5" borderId="36" xfId="3" applyNumberFormat="1" applyFont="1" applyFill="1" applyBorder="1" applyAlignment="1" applyProtection="1">
      <alignment horizontal="center" vertical="center"/>
    </xf>
    <xf numFmtId="4" fontId="13" fillId="5" borderId="39" xfId="2" applyNumberFormat="1" applyFont="1" applyFill="1" applyBorder="1" applyAlignment="1" applyProtection="1">
      <alignment horizontal="center" vertical="center" wrapText="1"/>
    </xf>
    <xf numFmtId="4" fontId="13" fillId="5" borderId="36" xfId="2" applyNumberFormat="1" applyFont="1" applyFill="1" applyBorder="1" applyAlignment="1" applyProtection="1">
      <alignment horizontal="center" vertical="center" wrapText="1"/>
    </xf>
    <xf numFmtId="4" fontId="12" fillId="5" borderId="39" xfId="2" applyNumberFormat="1" applyFont="1" applyFill="1" applyBorder="1" applyAlignment="1" applyProtection="1">
      <alignment horizontal="center" vertical="center" wrapText="1"/>
    </xf>
    <xf numFmtId="4" fontId="15" fillId="5" borderId="37" xfId="0" applyNumberFormat="1" applyFont="1" applyFill="1" applyBorder="1" applyAlignment="1" applyProtection="1">
      <alignment horizontal="center" vertical="center"/>
      <protection locked="0"/>
    </xf>
    <xf numFmtId="4" fontId="18" fillId="5" borderId="36" xfId="0" applyNumberFormat="1" applyFont="1" applyFill="1" applyBorder="1" applyAlignment="1" applyProtection="1">
      <alignment horizontal="center" vertical="center" wrapText="1"/>
      <protection locked="0"/>
    </xf>
    <xf numFmtId="0" fontId="31" fillId="5" borderId="36" xfId="0" applyFont="1" applyFill="1" applyBorder="1" applyProtection="1">
      <protection locked="0"/>
    </xf>
    <xf numFmtId="0" fontId="10" fillId="5" borderId="38" xfId="0" applyFont="1" applyFill="1" applyBorder="1" applyAlignment="1">
      <alignment horizontal="left" vertical="top"/>
    </xf>
    <xf numFmtId="49" fontId="16" fillId="5" borderId="35" xfId="3" applyNumberFormat="1" applyFont="1" applyFill="1" applyBorder="1" applyAlignment="1" applyProtection="1">
      <alignment horizontal="center" vertical="center"/>
    </xf>
    <xf numFmtId="0" fontId="13" fillId="17" borderId="36" xfId="7" applyFont="1" applyFill="1" applyBorder="1" applyAlignment="1" applyProtection="1">
      <alignment horizontal="left" vertical="center" wrapText="1"/>
      <protection locked="0"/>
    </xf>
    <xf numFmtId="0" fontId="18" fillId="17" borderId="36" xfId="7" applyFont="1" applyFill="1" applyBorder="1" applyAlignment="1" applyProtection="1">
      <alignment horizontal="center" vertical="center" wrapText="1"/>
      <protection locked="0"/>
    </xf>
    <xf numFmtId="2" fontId="18" fillId="17" borderId="36" xfId="7" applyNumberFormat="1" applyFont="1" applyFill="1" applyBorder="1" applyAlignment="1" applyProtection="1">
      <alignment horizontal="center" vertical="center" wrapText="1"/>
      <protection locked="0"/>
    </xf>
    <xf numFmtId="49" fontId="18" fillId="8" borderId="35" xfId="3" applyNumberFormat="1" applyFont="1" applyFill="1" applyBorder="1" applyAlignment="1" applyProtection="1">
      <alignment horizontal="center" vertical="center"/>
    </xf>
    <xf numFmtId="49" fontId="18" fillId="8" borderId="36" xfId="3" applyNumberFormat="1" applyFont="1" applyFill="1" applyBorder="1" applyAlignment="1" applyProtection="1">
      <alignment horizontal="center" vertical="center"/>
    </xf>
    <xf numFmtId="0" fontId="12" fillId="8" borderId="36" xfId="2" applyFont="1" applyFill="1" applyBorder="1" applyAlignment="1" applyProtection="1">
      <alignment horizontal="left" vertical="center" wrapText="1"/>
      <protection locked="0"/>
    </xf>
    <xf numFmtId="0" fontId="22" fillId="8" borderId="36" xfId="2" applyFont="1" applyFill="1" applyBorder="1" applyAlignment="1" applyProtection="1">
      <alignment horizontal="center" vertical="center" wrapText="1"/>
      <protection locked="0"/>
    </xf>
    <xf numFmtId="4" fontId="13" fillId="8" borderId="36" xfId="2" applyNumberFormat="1" applyFont="1" applyFill="1" applyBorder="1" applyAlignment="1" applyProtection="1">
      <alignment horizontal="center" vertical="center" wrapText="1"/>
    </xf>
    <xf numFmtId="4" fontId="12" fillId="8" borderId="39" xfId="2" applyNumberFormat="1" applyFont="1" applyFill="1" applyBorder="1" applyAlignment="1" applyProtection="1">
      <alignment horizontal="center" vertical="center" wrapText="1"/>
    </xf>
    <xf numFmtId="4" fontId="15" fillId="8" borderId="37" xfId="0" applyNumberFormat="1" applyFont="1" applyFill="1" applyBorder="1" applyAlignment="1" applyProtection="1">
      <alignment horizontal="center" vertical="center"/>
      <protection locked="0"/>
    </xf>
    <xf numFmtId="4" fontId="18" fillId="8" borderId="36" xfId="0" applyNumberFormat="1" applyFont="1" applyFill="1" applyBorder="1" applyAlignment="1" applyProtection="1">
      <alignment horizontal="center" vertical="center" wrapText="1"/>
      <protection locked="0"/>
    </xf>
    <xf numFmtId="0" fontId="31" fillId="8" borderId="36" xfId="0" applyFont="1" applyFill="1" applyBorder="1" applyProtection="1">
      <protection locked="0"/>
    </xf>
    <xf numFmtId="49" fontId="24" fillId="16" borderId="0" xfId="0" applyNumberFormat="1" applyFont="1" applyFill="1" applyAlignment="1" applyProtection="1">
      <alignment horizontal="left" vertical="center" wrapText="1"/>
    </xf>
    <xf numFmtId="4" fontId="5" fillId="0" borderId="0" xfId="0" applyNumberFormat="1" applyFont="1" applyAlignment="1" applyProtection="1">
      <alignment horizontal="center" vertical="center" wrapText="1"/>
    </xf>
    <xf numFmtId="49" fontId="10" fillId="2" borderId="15" xfId="0" applyNumberFormat="1" applyFont="1" applyFill="1" applyBorder="1" applyAlignment="1" applyProtection="1">
      <alignment horizontal="center" vertical="center" wrapText="1"/>
    </xf>
    <xf numFmtId="49" fontId="10" fillId="2" borderId="16" xfId="0" applyNumberFormat="1" applyFont="1" applyFill="1" applyBorder="1" applyAlignment="1" applyProtection="1">
      <alignment horizontal="center" vertical="center" wrapText="1"/>
    </xf>
    <xf numFmtId="49" fontId="10" fillId="2" borderId="13" xfId="0" applyNumberFormat="1" applyFont="1" applyFill="1" applyBorder="1" applyAlignment="1" applyProtection="1">
      <alignment horizontal="center" vertical="center" wrapText="1"/>
    </xf>
    <xf numFmtId="4" fontId="12" fillId="2" borderId="15" xfId="0" applyNumberFormat="1" applyFont="1" applyFill="1" applyBorder="1" applyAlignment="1" applyProtection="1">
      <alignment horizontal="center" vertical="center" wrapText="1"/>
    </xf>
    <xf numFmtId="4" fontId="10" fillId="2" borderId="15" xfId="0" applyNumberFormat="1" applyFont="1" applyFill="1" applyBorder="1" applyAlignment="1" applyProtection="1">
      <alignment horizontal="center" vertical="center" wrapText="1"/>
    </xf>
    <xf numFmtId="4" fontId="15" fillId="2" borderId="15" xfId="0" applyNumberFormat="1" applyFont="1" applyFill="1" applyBorder="1" applyAlignment="1" applyProtection="1">
      <alignment horizontal="center" vertical="center" wrapText="1"/>
    </xf>
    <xf numFmtId="4" fontId="10" fillId="2" borderId="2" xfId="0" applyNumberFormat="1" applyFont="1" applyFill="1" applyBorder="1" applyAlignment="1" applyProtection="1">
      <alignment horizontal="center" vertical="center" wrapText="1"/>
    </xf>
    <xf numFmtId="4" fontId="15" fillId="2" borderId="15" xfId="0" applyNumberFormat="1" applyFont="1" applyFill="1" applyBorder="1" applyAlignment="1" applyProtection="1">
      <alignment vertical="center" wrapText="1"/>
    </xf>
    <xf numFmtId="4" fontId="10" fillId="2" borderId="15" xfId="0" applyNumberFormat="1" applyFont="1" applyFill="1" applyBorder="1" applyAlignment="1" applyProtection="1">
      <alignment vertical="center" wrapText="1"/>
    </xf>
    <xf numFmtId="4" fontId="12" fillId="2" borderId="15" xfId="0" applyNumberFormat="1" applyFont="1" applyFill="1" applyBorder="1" applyAlignment="1" applyProtection="1">
      <alignment vertical="center" wrapText="1"/>
    </xf>
    <xf numFmtId="4" fontId="12" fillId="5" borderId="2" xfId="4" applyNumberFormat="1" applyFont="1" applyFill="1" applyBorder="1" applyAlignment="1" applyProtection="1">
      <alignment horizontal="center" vertical="center" wrapText="1"/>
    </xf>
    <xf numFmtId="4" fontId="15" fillId="5" borderId="32" xfId="0" applyNumberFormat="1" applyFont="1" applyFill="1" applyBorder="1" applyAlignment="1" applyProtection="1">
      <alignment horizontal="center" vertical="center"/>
      <protection locked="0"/>
    </xf>
    <xf numFmtId="4" fontId="10" fillId="5" borderId="32" xfId="0" applyNumberFormat="1" applyFont="1" applyFill="1" applyBorder="1" applyAlignment="1" applyProtection="1">
      <alignment horizontal="center" vertical="center"/>
      <protection locked="0"/>
    </xf>
    <xf numFmtId="0" fontId="12" fillId="8" borderId="37" xfId="2" applyFont="1" applyFill="1" applyBorder="1" applyAlignment="1" applyProtection="1">
      <alignment horizontal="center" vertical="center"/>
    </xf>
    <xf numFmtId="0" fontId="12" fillId="0" borderId="37" xfId="2" applyFont="1" applyFill="1" applyBorder="1" applyAlignment="1" applyProtection="1">
      <alignment horizontal="center" vertical="center"/>
    </xf>
    <xf numFmtId="4" fontId="10" fillId="3" borderId="36" xfId="1" applyNumberFormat="1" applyFont="1" applyFill="1" applyBorder="1" applyAlignment="1" applyProtection="1">
      <alignment horizontal="center" vertical="center" wrapText="1"/>
    </xf>
    <xf numFmtId="4" fontId="6" fillId="0" borderId="0" xfId="0" applyNumberFormat="1" applyFont="1" applyAlignment="1" applyProtection="1">
      <alignment horizontal="center"/>
    </xf>
    <xf numFmtId="0" fontId="15" fillId="0" borderId="0" xfId="0" applyFont="1" applyAlignment="1" applyProtection="1">
      <alignment horizontal="center"/>
    </xf>
    <xf numFmtId="4" fontId="15" fillId="8" borderId="36" xfId="0" applyNumberFormat="1" applyFont="1" applyFill="1" applyBorder="1" applyAlignment="1" applyProtection="1">
      <alignment horizontal="center" vertical="center" wrapText="1"/>
    </xf>
    <xf numFmtId="0" fontId="36" fillId="4" borderId="19" xfId="6" applyFont="1" applyFill="1" applyBorder="1" applyAlignment="1" applyProtection="1">
      <alignment horizontal="center" vertical="center"/>
    </xf>
    <xf numFmtId="49" fontId="12" fillId="4" borderId="2" xfId="2" applyNumberFormat="1" applyFont="1" applyFill="1" applyBorder="1" applyAlignment="1" applyProtection="1">
      <alignment horizontal="center" vertical="center" wrapText="1"/>
    </xf>
    <xf numFmtId="4" fontId="22" fillId="4" borderId="2" xfId="4" applyNumberFormat="1" applyFont="1" applyFill="1" applyBorder="1" applyAlignment="1" applyProtection="1">
      <alignment horizontal="center" vertical="center" wrapText="1"/>
    </xf>
    <xf numFmtId="4" fontId="22" fillId="4" borderId="10" xfId="4" applyNumberFormat="1" applyFont="1" applyFill="1" applyBorder="1" applyAlignment="1" applyProtection="1">
      <alignment horizontal="center" vertical="center" wrapText="1"/>
    </xf>
    <xf numFmtId="4" fontId="12" fillId="4" borderId="20" xfId="0" applyNumberFormat="1" applyFont="1" applyFill="1" applyBorder="1" applyAlignment="1" applyProtection="1">
      <alignment horizontal="center" vertical="center"/>
    </xf>
    <xf numFmtId="0" fontId="38" fillId="4" borderId="0" xfId="0" applyFont="1" applyFill="1" applyAlignment="1">
      <alignment vertical="center" wrapText="1"/>
    </xf>
    <xf numFmtId="49" fontId="13" fillId="4" borderId="2" xfId="0" applyNumberFormat="1" applyFont="1" applyFill="1" applyBorder="1" applyAlignment="1" applyProtection="1">
      <alignment horizontal="center" vertical="center" wrapText="1"/>
    </xf>
    <xf numFmtId="4" fontId="13" fillId="4" borderId="2" xfId="0" applyNumberFormat="1" applyFont="1" applyFill="1" applyBorder="1" applyAlignment="1" applyProtection="1">
      <alignment horizontal="center" vertical="center" wrapText="1"/>
    </xf>
    <xf numFmtId="4" fontId="13" fillId="4" borderId="10" xfId="0" applyNumberFormat="1" applyFont="1" applyFill="1" applyBorder="1" applyAlignment="1" applyProtection="1">
      <alignment horizontal="center" vertical="center" wrapText="1"/>
    </xf>
    <xf numFmtId="4" fontId="12" fillId="4" borderId="22" xfId="0" applyNumberFormat="1" applyFont="1" applyFill="1" applyBorder="1" applyAlignment="1" applyProtection="1">
      <alignment horizontal="center" vertical="center"/>
    </xf>
    <xf numFmtId="4" fontId="13" fillId="4" borderId="21" xfId="0" applyNumberFormat="1" applyFont="1" applyFill="1" applyBorder="1" applyAlignment="1" applyProtection="1">
      <alignment horizontal="center" vertical="center"/>
    </xf>
    <xf numFmtId="49" fontId="13" fillId="4" borderId="23" xfId="0" applyNumberFormat="1" applyFont="1" applyFill="1" applyBorder="1" applyAlignment="1" applyProtection="1">
      <alignment horizontal="center" vertical="center" wrapText="1"/>
    </xf>
    <xf numFmtId="4" fontId="13" fillId="4" borderId="21" xfId="0" applyNumberFormat="1" applyFont="1" applyFill="1" applyBorder="1" applyAlignment="1" applyProtection="1">
      <alignment horizontal="center" vertical="center" wrapText="1"/>
    </xf>
    <xf numFmtId="4" fontId="13" fillId="4" borderId="24" xfId="0" applyNumberFormat="1" applyFont="1" applyFill="1" applyBorder="1" applyAlignment="1" applyProtection="1">
      <alignment horizontal="center" vertical="center" wrapText="1"/>
    </xf>
    <xf numFmtId="4" fontId="18" fillId="4" borderId="21" xfId="0" applyNumberFormat="1" applyFont="1" applyFill="1" applyBorder="1" applyAlignment="1" applyProtection="1">
      <alignment horizontal="center" vertical="center" wrapText="1"/>
      <protection locked="0"/>
    </xf>
    <xf numFmtId="0" fontId="30" fillId="4" borderId="21" xfId="0" applyFont="1" applyFill="1" applyBorder="1" applyProtection="1">
      <protection locked="0"/>
    </xf>
    <xf numFmtId="4" fontId="10" fillId="4" borderId="20" xfId="0" applyNumberFormat="1" applyFont="1" applyFill="1" applyBorder="1" applyAlignment="1" applyProtection="1">
      <alignment horizontal="center" vertical="center"/>
    </xf>
    <xf numFmtId="49" fontId="15" fillId="4" borderId="3" xfId="0" applyNumberFormat="1" applyFont="1" applyFill="1" applyBorder="1" applyAlignment="1" applyProtection="1">
      <alignment horizontal="center" vertical="center" wrapText="1"/>
    </xf>
    <xf numFmtId="4" fontId="18" fillId="4" borderId="10" xfId="0" applyNumberFormat="1" applyFont="1" applyFill="1" applyBorder="1" applyAlignment="1" applyProtection="1">
      <alignment horizontal="center" vertical="center" wrapText="1"/>
    </xf>
    <xf numFmtId="164" fontId="15" fillId="0" borderId="2" xfId="0" applyNumberFormat="1" applyFont="1" applyFill="1" applyBorder="1" applyAlignment="1" applyProtection="1">
      <alignment horizontal="center" vertical="center" wrapText="1"/>
    </xf>
    <xf numFmtId="4" fontId="15" fillId="0" borderId="27" xfId="0" applyNumberFormat="1" applyFont="1" applyFill="1" applyBorder="1" applyAlignment="1" applyProtection="1">
      <alignment horizontal="center" vertical="center"/>
    </xf>
    <xf numFmtId="0" fontId="15" fillId="0" borderId="29" xfId="0" applyFont="1" applyFill="1" applyBorder="1"/>
    <xf numFmtId="164" fontId="15" fillId="0" borderId="26" xfId="0" applyNumberFormat="1" applyFont="1" applyFill="1" applyBorder="1" applyAlignment="1" applyProtection="1">
      <alignment horizontal="center" vertical="center" wrapText="1"/>
    </xf>
    <xf numFmtId="4" fontId="15" fillId="0" borderId="28" xfId="0" applyNumberFormat="1" applyFont="1" applyFill="1" applyBorder="1" applyAlignment="1" applyProtection="1">
      <alignment horizontal="center" vertical="center" wrapText="1"/>
    </xf>
    <xf numFmtId="164" fontId="15" fillId="0" borderId="3" xfId="0" applyNumberFormat="1" applyFont="1" applyFill="1" applyBorder="1" applyAlignment="1" applyProtection="1">
      <alignment horizontal="center" vertical="center" wrapText="1"/>
    </xf>
    <xf numFmtId="4" fontId="12" fillId="0" borderId="36" xfId="4" applyNumberFormat="1" applyFont="1" applyFill="1" applyBorder="1" applyAlignment="1" applyProtection="1">
      <alignment horizontal="center" vertical="center" wrapText="1"/>
    </xf>
    <xf numFmtId="4" fontId="22" fillId="0" borderId="36" xfId="4" applyNumberFormat="1" applyFont="1" applyFill="1" applyBorder="1" applyAlignment="1" applyProtection="1">
      <alignment horizontal="center" vertical="center" wrapText="1"/>
    </xf>
    <xf numFmtId="4" fontId="13" fillId="0" borderId="36" xfId="0" applyNumberFormat="1" applyFont="1" applyFill="1" applyBorder="1" applyAlignment="1" applyProtection="1">
      <alignment horizontal="center" vertical="center" wrapText="1"/>
    </xf>
    <xf numFmtId="4" fontId="13" fillId="0" borderId="36" xfId="0" applyNumberFormat="1" applyFont="1" applyFill="1" applyBorder="1" applyAlignment="1" applyProtection="1">
      <alignment horizontal="center" vertical="center"/>
    </xf>
    <xf numFmtId="4" fontId="15" fillId="0" borderId="36" xfId="0" applyNumberFormat="1" applyFont="1" applyFill="1" applyBorder="1" applyAlignment="1" applyProtection="1">
      <alignment horizontal="center" vertical="center" wrapText="1"/>
    </xf>
    <xf numFmtId="4" fontId="15" fillId="0" borderId="36" xfId="0" applyNumberFormat="1" applyFont="1" applyFill="1" applyBorder="1" applyAlignment="1" applyProtection="1">
      <alignment horizontal="center" vertical="center"/>
    </xf>
    <xf numFmtId="4" fontId="13" fillId="13" borderId="36" xfId="0" applyNumberFormat="1" applyFont="1" applyFill="1" applyBorder="1" applyAlignment="1" applyProtection="1">
      <alignment horizontal="center" vertical="center" wrapText="1"/>
    </xf>
    <xf numFmtId="4" fontId="18" fillId="11" borderId="2" xfId="0" applyNumberFormat="1" applyFont="1" applyFill="1" applyBorder="1" applyAlignment="1" applyProtection="1">
      <alignment horizontal="center" vertical="center" wrapText="1"/>
    </xf>
    <xf numFmtId="4" fontId="15" fillId="11" borderId="22" xfId="0" applyNumberFormat="1" applyFont="1" applyFill="1" applyBorder="1" applyAlignment="1" applyProtection="1">
      <alignment horizontal="center" vertical="center"/>
      <protection locked="0"/>
    </xf>
    <xf numFmtId="0" fontId="15" fillId="0" borderId="26" xfId="0" applyFont="1" applyFill="1" applyBorder="1" applyProtection="1"/>
    <xf numFmtId="4" fontId="18" fillId="11" borderId="36" xfId="0" applyNumberFormat="1" applyFont="1" applyFill="1" applyBorder="1" applyAlignment="1" applyProtection="1">
      <alignment horizontal="center" vertical="center" wrapText="1"/>
      <protection locked="0"/>
    </xf>
    <xf numFmtId="49" fontId="12" fillId="0" borderId="2" xfId="2" applyNumberFormat="1" applyFont="1" applyFill="1" applyBorder="1" applyAlignment="1" applyProtection="1">
      <alignment horizontal="center" vertical="center" wrapText="1"/>
    </xf>
    <xf numFmtId="4" fontId="22" fillId="0" borderId="10" xfId="4" applyNumberFormat="1" applyFont="1" applyFill="1" applyBorder="1" applyAlignment="1" applyProtection="1">
      <alignment horizontal="center" vertical="center" wrapText="1"/>
    </xf>
    <xf numFmtId="0" fontId="38" fillId="0" borderId="0" xfId="0" applyFont="1" applyFill="1" applyAlignment="1">
      <alignment vertical="center" wrapText="1"/>
    </xf>
    <xf numFmtId="49" fontId="13" fillId="0" borderId="2" xfId="0" applyNumberFormat="1" applyFont="1" applyFill="1" applyBorder="1" applyAlignment="1" applyProtection="1">
      <alignment horizontal="center" vertical="center" wrapText="1"/>
    </xf>
    <xf numFmtId="4" fontId="13" fillId="0" borderId="10" xfId="0" applyNumberFormat="1" applyFont="1" applyFill="1" applyBorder="1" applyAlignment="1" applyProtection="1">
      <alignment horizontal="center" vertical="center" wrapText="1"/>
    </xf>
    <xf numFmtId="4" fontId="12" fillId="0" borderId="22" xfId="0" applyNumberFormat="1" applyFont="1" applyFill="1" applyBorder="1" applyAlignment="1" applyProtection="1">
      <alignment horizontal="center" vertical="center"/>
    </xf>
    <xf numFmtId="4" fontId="13" fillId="0" borderId="21" xfId="0" applyNumberFormat="1" applyFont="1" applyFill="1" applyBorder="1" applyAlignment="1" applyProtection="1">
      <alignment horizontal="center" vertical="center"/>
    </xf>
    <xf numFmtId="49" fontId="13" fillId="0" borderId="23" xfId="0" applyNumberFormat="1" applyFont="1" applyFill="1" applyBorder="1" applyAlignment="1" applyProtection="1">
      <alignment horizontal="center" vertical="center" wrapText="1"/>
    </xf>
    <xf numFmtId="4" fontId="13" fillId="0" borderId="21" xfId="0" applyNumberFormat="1" applyFont="1" applyFill="1" applyBorder="1" applyAlignment="1" applyProtection="1">
      <alignment horizontal="center" vertical="center" wrapText="1"/>
    </xf>
    <xf numFmtId="4" fontId="13" fillId="0" borderId="24" xfId="0" applyNumberFormat="1" applyFont="1" applyFill="1" applyBorder="1" applyAlignment="1" applyProtection="1">
      <alignment horizontal="center" vertical="center" wrapText="1"/>
    </xf>
    <xf numFmtId="49" fontId="15" fillId="0" borderId="3" xfId="0" applyNumberFormat="1" applyFont="1" applyFill="1" applyBorder="1" applyAlignment="1" applyProtection="1">
      <alignment horizontal="center" vertical="center" wrapText="1"/>
    </xf>
    <xf numFmtId="4" fontId="18" fillId="0" borderId="10" xfId="0" applyNumberFormat="1" applyFont="1" applyFill="1" applyBorder="1" applyAlignment="1" applyProtection="1">
      <alignment horizontal="center" vertical="center" wrapText="1"/>
    </xf>
    <xf numFmtId="4" fontId="12" fillId="0" borderId="4" xfId="4" applyNumberFormat="1" applyFont="1" applyFill="1" applyBorder="1" applyAlignment="1" applyProtection="1">
      <alignment horizontal="center" vertical="center" wrapText="1"/>
    </xf>
    <xf numFmtId="4" fontId="22" fillId="0" borderId="5" xfId="4" applyNumberFormat="1" applyFont="1" applyFill="1" applyBorder="1" applyAlignment="1" applyProtection="1">
      <alignment horizontal="center" vertical="center" wrapText="1"/>
    </xf>
    <xf numFmtId="4" fontId="13" fillId="0" borderId="4" xfId="0" applyNumberFormat="1" applyFont="1" applyFill="1" applyBorder="1" applyAlignment="1" applyProtection="1">
      <alignment horizontal="center" vertical="center"/>
    </xf>
    <xf numFmtId="4" fontId="13" fillId="0" borderId="5" xfId="0" applyNumberFormat="1" applyFont="1" applyFill="1" applyBorder="1" applyAlignment="1" applyProtection="1">
      <alignment horizontal="center" vertical="center" wrapText="1"/>
    </xf>
    <xf numFmtId="4" fontId="15" fillId="0" borderId="5" xfId="0" applyNumberFormat="1" applyFont="1" applyFill="1" applyBorder="1" applyAlignment="1" applyProtection="1">
      <alignment horizontal="center" vertical="center"/>
    </xf>
    <xf numFmtId="0" fontId="0" fillId="0" borderId="0" xfId="0" pivotButton="1"/>
    <xf numFmtId="0" fontId="0" fillId="0" borderId="0" xfId="0" applyNumberFormat="1"/>
    <xf numFmtId="4" fontId="13" fillId="0" borderId="2" xfId="4" applyNumberFormat="1" applyFont="1" applyFill="1" applyBorder="1" applyAlignment="1" applyProtection="1">
      <alignment horizontal="center" vertical="center" wrapText="1"/>
    </xf>
    <xf numFmtId="4" fontId="18" fillId="0" borderId="2" xfId="3" applyNumberFormat="1" applyFont="1" applyFill="1" applyBorder="1" applyAlignment="1" applyProtection="1">
      <alignment horizontal="center" vertical="center"/>
    </xf>
    <xf numFmtId="49" fontId="24" fillId="16" borderId="0" xfId="0" applyNumberFormat="1" applyFont="1" applyFill="1" applyAlignment="1" applyProtection="1">
      <alignment horizontal="left" vertical="center" wrapText="1"/>
    </xf>
    <xf numFmtId="49" fontId="19" fillId="0" borderId="0" xfId="2" applyNumberFormat="1" applyFont="1" applyAlignment="1" applyProtection="1">
      <alignment horizontal="left" vertical="top" wrapText="1"/>
    </xf>
    <xf numFmtId="49" fontId="37" fillId="0" borderId="0" xfId="2" applyNumberFormat="1" applyFont="1" applyAlignment="1" applyProtection="1">
      <alignment horizontal="left" vertical="top" wrapText="1"/>
    </xf>
    <xf numFmtId="49" fontId="8" fillId="4" borderId="0" xfId="0" applyNumberFormat="1" applyFont="1" applyFill="1" applyAlignment="1" applyProtection="1">
      <alignment horizontal="left"/>
    </xf>
    <xf numFmtId="4" fontId="7" fillId="0" borderId="0" xfId="0" applyNumberFormat="1" applyFont="1" applyAlignment="1" applyProtection="1">
      <alignment horizontal="center" vertical="center" wrapText="1"/>
    </xf>
    <xf numFmtId="4" fontId="5" fillId="0" borderId="0" xfId="0" applyNumberFormat="1" applyFont="1" applyAlignment="1" applyProtection="1">
      <alignment horizontal="center" vertical="center" wrapText="1"/>
    </xf>
    <xf numFmtId="49" fontId="10" fillId="2" borderId="15" xfId="0" applyNumberFormat="1" applyFont="1" applyFill="1" applyBorder="1" applyAlignment="1" applyProtection="1">
      <alignment horizontal="center" vertical="center" wrapText="1"/>
    </xf>
    <xf numFmtId="49" fontId="10" fillId="2" borderId="16" xfId="0" applyNumberFormat="1" applyFont="1" applyFill="1" applyBorder="1" applyAlignment="1" applyProtection="1">
      <alignment horizontal="center" vertical="center" wrapText="1"/>
    </xf>
    <xf numFmtId="49" fontId="10" fillId="2" borderId="13" xfId="0" applyNumberFormat="1" applyFont="1" applyFill="1" applyBorder="1" applyAlignment="1" applyProtection="1">
      <alignment horizontal="center" vertical="center" wrapText="1"/>
    </xf>
    <xf numFmtId="4" fontId="12" fillId="2" borderId="15" xfId="0" applyNumberFormat="1" applyFont="1" applyFill="1" applyBorder="1" applyAlignment="1" applyProtection="1">
      <alignment horizontal="center" vertical="center" wrapText="1"/>
    </xf>
    <xf numFmtId="4" fontId="12" fillId="2" borderId="16" xfId="0" applyNumberFormat="1" applyFont="1" applyFill="1" applyBorder="1" applyAlignment="1" applyProtection="1">
      <alignment horizontal="center" vertical="center" wrapText="1"/>
    </xf>
    <xf numFmtId="4" fontId="12" fillId="2" borderId="13" xfId="0" applyNumberFormat="1" applyFont="1" applyFill="1" applyBorder="1" applyAlignment="1" applyProtection="1">
      <alignment horizontal="center" vertical="center" wrapText="1"/>
    </xf>
    <xf numFmtId="4" fontId="10" fillId="2" borderId="15" xfId="0" applyNumberFormat="1" applyFont="1" applyFill="1" applyBorder="1" applyAlignment="1" applyProtection="1">
      <alignment horizontal="center" vertical="center" wrapText="1"/>
    </xf>
    <xf numFmtId="4" fontId="10" fillId="2" borderId="16" xfId="0" applyNumberFormat="1" applyFont="1" applyFill="1" applyBorder="1" applyAlignment="1" applyProtection="1">
      <alignment horizontal="center" vertical="center" wrapText="1"/>
    </xf>
    <xf numFmtId="4" fontId="10" fillId="2" borderId="13" xfId="0" applyNumberFormat="1" applyFont="1" applyFill="1" applyBorder="1" applyAlignment="1" applyProtection="1">
      <alignment horizontal="center" vertical="center" wrapText="1"/>
    </xf>
    <xf numFmtId="4" fontId="15" fillId="2" borderId="15" xfId="0" applyNumberFormat="1" applyFont="1" applyFill="1" applyBorder="1" applyAlignment="1" applyProtection="1">
      <alignment horizontal="center" vertical="center" wrapText="1"/>
    </xf>
    <xf numFmtId="4" fontId="15" fillId="2" borderId="16" xfId="0" applyNumberFormat="1" applyFont="1" applyFill="1" applyBorder="1" applyAlignment="1" applyProtection="1">
      <alignment horizontal="center" vertical="center" wrapText="1"/>
    </xf>
    <xf numFmtId="4" fontId="15" fillId="2" borderId="13" xfId="0" applyNumberFormat="1" applyFont="1" applyFill="1" applyBorder="1" applyAlignment="1" applyProtection="1">
      <alignment horizontal="center" vertical="center" wrapText="1"/>
    </xf>
    <xf numFmtId="4" fontId="5" fillId="5" borderId="3" xfId="0" applyNumberFormat="1" applyFont="1" applyFill="1" applyBorder="1" applyAlignment="1" applyProtection="1">
      <alignment horizontal="center" vertical="center" wrapText="1"/>
    </xf>
    <xf numFmtId="4" fontId="5" fillId="5" borderId="17" xfId="0" applyNumberFormat="1" applyFont="1" applyFill="1" applyBorder="1" applyAlignment="1" applyProtection="1">
      <alignment horizontal="center" vertical="center" wrapText="1"/>
    </xf>
    <xf numFmtId="4" fontId="5" fillId="5" borderId="14" xfId="0" applyNumberFormat="1" applyFont="1" applyFill="1" applyBorder="1" applyAlignment="1" applyProtection="1">
      <alignment horizontal="center" vertical="center" wrapText="1"/>
    </xf>
    <xf numFmtId="4" fontId="10" fillId="2" borderId="2" xfId="0" applyNumberFormat="1" applyFont="1" applyFill="1" applyBorder="1" applyAlignment="1" applyProtection="1">
      <alignment horizontal="center" vertical="center" wrapText="1"/>
    </xf>
    <xf numFmtId="0" fontId="13" fillId="0" borderId="2" xfId="0" applyFont="1" applyBorder="1" applyProtection="1"/>
    <xf numFmtId="4" fontId="29" fillId="0" borderId="15" xfId="0" applyNumberFormat="1" applyFont="1" applyBorder="1" applyAlignment="1" applyProtection="1">
      <alignment horizontal="center" vertical="center"/>
      <protection locked="0"/>
    </xf>
    <xf numFmtId="4" fontId="29" fillId="0" borderId="13" xfId="0" applyNumberFormat="1" applyFont="1" applyBorder="1" applyAlignment="1" applyProtection="1">
      <alignment horizontal="center" vertical="center"/>
      <protection locked="0"/>
    </xf>
  </cellXfs>
  <cellStyles count="8">
    <cellStyle name="Обычный" xfId="0" builtinId="0"/>
    <cellStyle name="Обычный 2 2" xfId="2" xr:uid="{2926802A-023B-4A49-A9F9-3DCE9334B35F}"/>
    <cellStyle name="Обычный 2 3" xfId="5" xr:uid="{F8DB24B7-6CAB-4C7C-926E-6EE005CA8C51}"/>
    <cellStyle name="Обычный 3 2" xfId="3" xr:uid="{A2FE9801-0192-47E5-AD4F-58BBF72D9775}"/>
    <cellStyle name="Обычный 6" xfId="7" xr:uid="{F45BD5AF-AC9D-4FCB-8AB7-CBB07E2326A4}"/>
    <cellStyle name="Обычный_Лист1" xfId="6" xr:uid="{6A0F3B94-609D-4A79-B6A5-ACFC30920719}"/>
    <cellStyle name="Финансовый" xfId="1" builtinId="3"/>
    <cellStyle name="Финансовый 2" xfId="4" xr:uid="{94A24CDA-5885-45EA-B223-9AE152C940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oneCellAnchor>
    <xdr:from>
      <xdr:col>11</xdr:col>
      <xdr:colOff>0</xdr:colOff>
      <xdr:row>201</xdr:row>
      <xdr:rowOff>0</xdr:rowOff>
    </xdr:from>
    <xdr:ext cx="38100" cy="171450"/>
    <xdr:sp macro="" textlink="">
      <xdr:nvSpPr>
        <xdr:cNvPr id="2" name="Shape 3">
          <a:extLst>
            <a:ext uri="{FF2B5EF4-FFF2-40B4-BE49-F238E27FC236}">
              <a16:creationId xmlns:a16="http://schemas.microsoft.com/office/drawing/2014/main" id="{2C20A7A3-4560-45BB-8B2C-3D510666FBAE}"/>
            </a:ext>
          </a:extLst>
        </xdr:cNvPr>
        <xdr:cNvSpPr txBox="1"/>
      </xdr:nvSpPr>
      <xdr:spPr>
        <a:xfrm>
          <a:off x="12725400" y="532447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3" name="Shape 4">
          <a:extLst>
            <a:ext uri="{FF2B5EF4-FFF2-40B4-BE49-F238E27FC236}">
              <a16:creationId xmlns:a16="http://schemas.microsoft.com/office/drawing/2014/main" id="{5D785E01-B2A1-4F56-BE88-0D49BB0E35DB}"/>
            </a:ext>
          </a:extLst>
        </xdr:cNvPr>
        <xdr:cNvSpPr txBox="1"/>
      </xdr:nvSpPr>
      <xdr:spPr>
        <a:xfrm>
          <a:off x="12725400" y="532447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4" name="Shape 3">
          <a:extLst>
            <a:ext uri="{FF2B5EF4-FFF2-40B4-BE49-F238E27FC236}">
              <a16:creationId xmlns:a16="http://schemas.microsoft.com/office/drawing/2014/main" id="{479DC59A-8181-48A6-98D3-3B1173FCB101}"/>
            </a:ext>
          </a:extLst>
        </xdr:cNvPr>
        <xdr:cNvSpPr txBox="1"/>
      </xdr:nvSpPr>
      <xdr:spPr>
        <a:xfrm>
          <a:off x="12725400" y="532447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5" name="Shape 4">
          <a:extLst>
            <a:ext uri="{FF2B5EF4-FFF2-40B4-BE49-F238E27FC236}">
              <a16:creationId xmlns:a16="http://schemas.microsoft.com/office/drawing/2014/main" id="{961B41CA-80D5-4941-8875-E0AF577C2C30}"/>
            </a:ext>
          </a:extLst>
        </xdr:cNvPr>
        <xdr:cNvSpPr txBox="1"/>
      </xdr:nvSpPr>
      <xdr:spPr>
        <a:xfrm>
          <a:off x="12725400" y="532447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6" name="Shape 5">
          <a:extLst>
            <a:ext uri="{FF2B5EF4-FFF2-40B4-BE49-F238E27FC236}">
              <a16:creationId xmlns:a16="http://schemas.microsoft.com/office/drawing/2014/main" id="{948FBF11-7016-43FE-886C-118F5C98E2B9}"/>
            </a:ext>
          </a:extLst>
        </xdr:cNvPr>
        <xdr:cNvSpPr txBox="1"/>
      </xdr:nvSpPr>
      <xdr:spPr>
        <a:xfrm>
          <a:off x="12725400" y="532447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11</xdr:col>
      <xdr:colOff>0</xdr:colOff>
      <xdr:row>201</xdr:row>
      <xdr:rowOff>0</xdr:rowOff>
    </xdr:from>
    <xdr:ext cx="38100" cy="171450"/>
    <xdr:sp macro="" textlink="">
      <xdr:nvSpPr>
        <xdr:cNvPr id="2" name="Shape 3">
          <a:extLst>
            <a:ext uri="{FF2B5EF4-FFF2-40B4-BE49-F238E27FC236}">
              <a16:creationId xmlns:a16="http://schemas.microsoft.com/office/drawing/2014/main" id="{DA412E89-D348-4F08-8ADA-AB8E054440A5}"/>
            </a:ext>
          </a:extLst>
        </xdr:cNvPr>
        <xdr:cNvSpPr txBox="1"/>
      </xdr:nvSpPr>
      <xdr:spPr>
        <a:xfrm>
          <a:off x="9839325" y="5504497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3" name="Shape 4">
          <a:extLst>
            <a:ext uri="{FF2B5EF4-FFF2-40B4-BE49-F238E27FC236}">
              <a16:creationId xmlns:a16="http://schemas.microsoft.com/office/drawing/2014/main" id="{88E4B132-6EDE-4DE6-A87C-753253356CF6}"/>
            </a:ext>
          </a:extLst>
        </xdr:cNvPr>
        <xdr:cNvSpPr txBox="1"/>
      </xdr:nvSpPr>
      <xdr:spPr>
        <a:xfrm>
          <a:off x="9839325" y="5504497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4" name="Shape 3">
          <a:extLst>
            <a:ext uri="{FF2B5EF4-FFF2-40B4-BE49-F238E27FC236}">
              <a16:creationId xmlns:a16="http://schemas.microsoft.com/office/drawing/2014/main" id="{6B1EC90D-DDC9-44BD-981C-FD9BF24B4BCE}"/>
            </a:ext>
          </a:extLst>
        </xdr:cNvPr>
        <xdr:cNvSpPr txBox="1"/>
      </xdr:nvSpPr>
      <xdr:spPr>
        <a:xfrm>
          <a:off x="9839325" y="5504497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5" name="Shape 4">
          <a:extLst>
            <a:ext uri="{FF2B5EF4-FFF2-40B4-BE49-F238E27FC236}">
              <a16:creationId xmlns:a16="http://schemas.microsoft.com/office/drawing/2014/main" id="{3CDE6F1B-1CA2-440C-A12F-BB5A9ACACC31}"/>
            </a:ext>
          </a:extLst>
        </xdr:cNvPr>
        <xdr:cNvSpPr txBox="1"/>
      </xdr:nvSpPr>
      <xdr:spPr>
        <a:xfrm>
          <a:off x="9839325" y="5504497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201</xdr:row>
      <xdr:rowOff>0</xdr:rowOff>
    </xdr:from>
    <xdr:ext cx="38100" cy="171450"/>
    <xdr:sp macro="" textlink="">
      <xdr:nvSpPr>
        <xdr:cNvPr id="6" name="Shape 5">
          <a:extLst>
            <a:ext uri="{FF2B5EF4-FFF2-40B4-BE49-F238E27FC236}">
              <a16:creationId xmlns:a16="http://schemas.microsoft.com/office/drawing/2014/main" id="{628256F0-5E8E-4BF9-8C0E-4E59D4B59C33}"/>
            </a:ext>
          </a:extLst>
        </xdr:cNvPr>
        <xdr:cNvSpPr txBox="1"/>
      </xdr:nvSpPr>
      <xdr:spPr>
        <a:xfrm>
          <a:off x="9839325" y="5504497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Шилкова Евгения" refreshedDate="46203.496022569445" createdVersion="7" refreshedVersion="7" minRefreshableVersion="3" recordCount="193" xr:uid="{A58DC60D-3FBC-4ED3-97C7-6DC9ACEF1F0C}">
  <cacheSource type="worksheet">
    <worksheetSource ref="B10:K203" sheet="ВДЦ для ЭП"/>
  </cacheSource>
  <cacheFields count="10">
    <cacheField name="р/м, услуга, компл" numFmtId="49">
      <sharedItems containsBlank="1" count="5">
        <m/>
        <s v="р"/>
        <s v="м"/>
        <s v="усл"/>
        <s v="комп"/>
      </sharedItems>
    </cacheField>
    <cacheField name="Код" numFmtId="0">
      <sharedItems containsBlank="1"/>
    </cacheField>
    <cacheField name="Наименование  затрат" numFmtId="0">
      <sharedItems count="103">
        <s v="Устройство  стен  и перегородок  ниже отм. 0.00"/>
        <s v="Жилые секции"/>
        <s v="Устройство наружных стен t= 200мм. (цоколь отм. -4.500)"/>
        <s v="Устройство наружных стен из  блоков ячеистого бетона t= 200мм."/>
        <s v="Блок I /625*200*250/D600/B2,5/F100   стеновой из ячеистого бетона автоклавного твердения_x000a_"/>
        <s v="Раствор цементно-песчаный М100 "/>
        <s v="Клей для  блоков из ячеистого бетона"/>
        <s v="Сетка кладочная базальтовая 25х25мм диаметр 1мм."/>
        <s v="Устройство внутренних стен  t= 200мм. (цоколь отм. -4.500)"/>
        <s v="Устройство внутренних стен из  блоков ячеисто бетона  t= 200мм."/>
        <s v="Устройство внутренних стен    t= 200мм. (подвал отм. -7.200)"/>
        <s v="Устройство  перегородок  из кирпича   t= 120мм."/>
        <s v="Устройство перегородок из кирпича полнотелого  t= 120мм."/>
        <s v="Кирпич рядовой  полнотелый  керамический 250х120х65 "/>
        <s v="Устройство  перегородок  из кирпича   t= 65мм."/>
        <s v="Устройство перегородок из кирпича силикатного  полнотелого          t= 65мм."/>
        <s v="Кирпич рядовой  полнотелый силикатный 250х120х65 "/>
        <s v="Паркинг"/>
        <s v="Устройство наружных стен   t= 200мм."/>
        <s v="Монтаж перемычек ниже отм. 0.00"/>
        <s v="Монтаж перемычек   отм. -7.200 (подвал)"/>
        <s v="уголок  L75x6 L=1500"/>
        <s v="  Планка 200х50х6"/>
        <s v="Арматура А500 d=12"/>
        <s v="Монтаж перемычек   отм. -4.500 (цоколь, паркинг)"/>
        <s v="L100x8 L=3450"/>
        <s v="L100x8 L=2095"/>
        <s v="L100x8 L=2470"/>
        <s v="L100x8 L=2585"/>
        <s v="L100x8 L=2710"/>
        <s v="L100x8 L=2890"/>
        <s v="L100x8 L=2550"/>
        <s v="L100x8 L=3080"/>
        <s v="L100x8 L=2645"/>
        <s v="L100x8 L=2930"/>
        <s v="L100x8 L=3200"/>
        <s v="L100x8 L=4000"/>
        <s v="L100x8 L=4230"/>
        <s v="L100x8 L=2790"/>
        <s v="L100x8 L=3000"/>
        <s v="L100x8 L=3065"/>
        <s v="L100x8 L=3570"/>
        <s v="L100x8 L=1750"/>
        <s v="L100x8 L=2375"/>
        <s v="L100x8 L=2970"/>
        <s v="L100x8 L=4350"/>
        <s v="L100x8 L=200"/>
        <s v="L75x6 L=200"/>
        <s v="Дюбель  6*50 мм."/>
        <s v="уголок L75x6 L=1400"/>
        <s v="Уголок L100x7 L=2720"/>
        <s v="  Планка 50х6 L=200мм"/>
        <s v="Устройство  стен  и перегородок  выше отм. 0.00 "/>
        <s v="Устройство внутренних стен    t= 200мм."/>
        <s v="Устройство внутренних  стен   t= 250мм."/>
        <s v="Устройство стен  из кирпича керамического полнотелого t= 250мм."/>
        <s v=" Устройство перегородок   t= 80мм."/>
        <s v="Устройство перегородок из Силикатного блока Поревит 498х80х248 мм  t= 80мм."/>
        <s v="Силикатный блок Поревит 80мм 498х80х248 мм"/>
        <s v="Клей для  силикатных блоков"/>
        <s v="Монтаж перемычек  1 этаж"/>
        <s v="ППБ D400 В1,5 F150-150х200х2050 ТУ23.61.11-001-63492197-2018."/>
        <s v="ППБ D400 В1,5 F150-150х200х2150 ТУ23.61.11-001-63492197-2018."/>
        <s v="ППБ D400 В1,5 F150-150х200х2450 ТУ23.61.11-001-63492197-2018."/>
        <s v="ППБ D400 В1,5 F150-150х200х2550 ТУ23.61.11-001-63492197-2018."/>
        <s v="ППБ D400 В1,5 F150-150х200х2600 ТУ23.61.11-001-63492197-2018."/>
        <s v="ППБ D400 В1,5 F150-150х200х2850 ТУ23.61.11-001-63492197-2018."/>
        <s v="ППБ D400 В1,5 F150-150х200х2870 ТУ23.61.11-001-63492197-2018."/>
        <s v="ППБ D400 В1,5 F150-150х200х2985 ТУ23.61.11-001-63492197-2018."/>
        <s v="ППБ D400 В1,5 F150-150х200х3050 ТУ23.61.11-001-63492197-2018."/>
        <s v="ППБ D400 В1,5 F150-150х200х3200 ТУ23.61.11-001-63492197-2018."/>
        <s v="ППБ D400 В1,5 F150-150х200х3250 ТУ23.61.11-001-63492197-2018."/>
        <s v="ППБ D400 В1,5 F150-150х200х1400 ТУ23.61.11-001-63492197-2018."/>
        <s v="ППБ D400 В1,5 F150-150х200х1200 ТУ23.61.11-001-63492197-2018."/>
        <s v="ППБ D400 В1,5 F150-150х200х1600 ТУ23.61.11-001-63492197-2018."/>
        <s v="ППБ D400 В1,5 F150-150х200х2020 ТУ23.61.11-001-63492197-2018."/>
        <s v="ППБ D400 В1,5 F150-150х200х2135 ТУ23.61.11-001-63492197-2018."/>
        <s v="ППБ D400 В1,5 F150-150х200х2250 ТУ23.61.11-001-63492197-2018."/>
        <s v="ППБ D400 В1,5 F150-150х200х2650 ТУ23.61.11-001-63492197-2018."/>
        <s v="ППБ D400 В1,5 F150-150х200х2800 ТУ23.61.11-001-63492197-2018."/>
        <s v="ППБ D400 В1,5 F150-150х200х2880 ТУ23.61.11-001-63492197-2018."/>
        <s v="ППБ D400 В1,5 F150-150х200х3010 ТУ23.61.11-001-63492197-2018."/>
        <s v="Уголок  L100x8 ГОСТ 8509-93"/>
        <s v="Цементно-песчаный раствор М100"/>
        <s v="Монтаж перемычек  2-8 этаж"/>
        <s v="ППБ D400 В1,5 F150-150х200х2460 ТУ23.61.11-001-63492197-2018."/>
        <s v="ППБ D400 В1,5 F150-150х200х2490 ТУ23.61.11-001-63492197-2018."/>
        <s v="ППБ D400 В1,5 F150-150х200х1300 ТУ23.61.11-001-63492197-2018."/>
        <s v="ППБ D400 В1,5 F150-150х200х1550 ТУ23.61.11-001-63492197-2018."/>
        <s v="ППБ D400 В1,5 F150-150х200х3015 ТУ23.61.11-001-63492197-2018."/>
        <s v="Монтаж перемычек  9-24 этаж"/>
        <s v="Гидроизоляция"/>
        <s v="Устройство  отсечной  гидроизоляции "/>
        <s v="Мастика приклеивающая &quot;Технониколь №27&quot; или аналог"/>
        <s v="Отсечная гидроизоляция Технониколь (200мм) Первый ряд каменных работ "/>
        <s v="Услуги Башенного крана"/>
        <s v="Услуги по обслуживанию строительной площадки в т.ч.:"/>
        <s v="Затраты по электроэнергии (прогрев, отопление, освещение,  межэтажное освещение, краны)"/>
        <s v="Обслуживание биотуалетов"/>
        <s v="Уборка мусора (самосвал, погрузчик, Щетка )"/>
        <s v="Вывоз мусора"/>
        <s v="Общая стоимость работ"/>
        <s v="в т.ч. НДС 22%"/>
      </sharedItems>
    </cacheField>
    <cacheField name="Тип затрат" numFmtId="0">
      <sharedItems containsBlank="1"/>
    </cacheField>
    <cacheField name="Ед. изм." numFmtId="0">
      <sharedItems containsBlank="1" count="9">
        <m/>
        <s v="м3"/>
        <s v="кг"/>
        <s v="м2"/>
        <s v="шт."/>
        <s v="тн"/>
        <s v="шт"/>
        <s v="услуга"/>
        <s v="мес"/>
      </sharedItems>
    </cacheField>
    <cacheField name="Норма Расхода" numFmtId="0">
      <sharedItems containsBlank="1" containsMixedTypes="1" containsNumber="1" minValue="0.02" maxValue="400"/>
    </cacheField>
    <cacheField name="Секция1" numFmtId="0">
      <sharedItems containsString="0" containsBlank="1" containsNumber="1" minValue="1.4331200000000002E-3" maxValue="121418"/>
    </cacheField>
    <cacheField name="Секция2" numFmtId="0">
      <sharedItems containsNonDate="0" containsString="0" containsBlank="1"/>
    </cacheField>
    <cacheField name="Паркинг" numFmtId="0">
      <sharedItems containsString="0" containsBlank="1" containsNumber="1" minValue="4.4085600000000015E-3" maxValue="13857"/>
    </cacheField>
    <cacheField name="Всего кол-во" numFmtId="0">
      <sharedItems containsString="0" containsBlank="1" containsNumber="1" minValue="0" maxValue="12141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3">
  <r>
    <x v="0"/>
    <m/>
    <x v="0"/>
    <m/>
    <x v="0"/>
    <m/>
    <m/>
    <m/>
    <m/>
    <m/>
  </r>
  <r>
    <x v="0"/>
    <m/>
    <x v="1"/>
    <m/>
    <x v="0"/>
    <m/>
    <m/>
    <m/>
    <m/>
    <m/>
  </r>
  <r>
    <x v="0"/>
    <s v="0.1.4.3.2.1"/>
    <x v="2"/>
    <m/>
    <x v="0"/>
    <m/>
    <m/>
    <m/>
    <m/>
    <m/>
  </r>
  <r>
    <x v="1"/>
    <s v="0.1.4.3.2.1"/>
    <x v="3"/>
    <s v="договорная цена"/>
    <x v="1"/>
    <n v="1"/>
    <n v="55.26"/>
    <m/>
    <m/>
    <n v="55.26"/>
  </r>
  <r>
    <x v="2"/>
    <m/>
    <x v="4"/>
    <s v="договорная цена"/>
    <x v="1"/>
    <n v="1.05"/>
    <n v="58.02"/>
    <m/>
    <m/>
    <n v="58.02"/>
  </r>
  <r>
    <x v="2"/>
    <m/>
    <x v="5"/>
    <s v="договорная цена"/>
    <x v="1"/>
    <n v="0.22"/>
    <n v="0.81400000000000006"/>
    <m/>
    <m/>
    <n v="0.81400000000000006"/>
  </r>
  <r>
    <x v="2"/>
    <m/>
    <x v="6"/>
    <s v="договорная цена"/>
    <x v="2"/>
    <n v="30"/>
    <n v="1546.8"/>
    <m/>
    <m/>
    <n v="1546.8"/>
  </r>
  <r>
    <x v="2"/>
    <m/>
    <x v="7"/>
    <s v="договорная цена"/>
    <x v="3"/>
    <n v="1.1000000000000001"/>
    <n v="86.834000000000003"/>
    <m/>
    <m/>
    <n v="86.834000000000003"/>
  </r>
  <r>
    <x v="0"/>
    <s v="0.1.4.3.2.1"/>
    <x v="8"/>
    <m/>
    <x v="0"/>
    <m/>
    <m/>
    <m/>
    <m/>
    <m/>
  </r>
  <r>
    <x v="1"/>
    <s v="0.1.4.3.2.1"/>
    <x v="9"/>
    <s v="договорная цена"/>
    <x v="1"/>
    <n v="1"/>
    <n v="126.74000000000001"/>
    <m/>
    <m/>
    <n v="126.74000000000001"/>
  </r>
  <r>
    <x v="2"/>
    <m/>
    <x v="4"/>
    <s v="договорная цена"/>
    <x v="1"/>
    <n v="1.05"/>
    <n v="133.07700000000003"/>
    <m/>
    <m/>
    <n v="133.07700000000003"/>
  </r>
  <r>
    <x v="2"/>
    <m/>
    <x v="5"/>
    <s v="договорная цена"/>
    <x v="1"/>
    <n v="0.22"/>
    <n v="2.3980000000000001"/>
    <m/>
    <m/>
    <n v="2.3980000000000001"/>
  </r>
  <r>
    <x v="2"/>
    <m/>
    <x v="6"/>
    <s v="договорная цена"/>
    <x v="2"/>
    <n v="30"/>
    <n v="3475.2000000000003"/>
    <m/>
    <m/>
    <n v="3475.2000000000003"/>
  </r>
  <r>
    <x v="2"/>
    <m/>
    <x v="7"/>
    <s v="договорная цена"/>
    <x v="3"/>
    <n v="1.1000000000000001"/>
    <n v="9.6140000000000008"/>
    <m/>
    <m/>
    <n v="9.6140000000000008"/>
  </r>
  <r>
    <x v="0"/>
    <s v="0.1.4.3.2.1"/>
    <x v="10"/>
    <m/>
    <x v="0"/>
    <m/>
    <m/>
    <m/>
    <m/>
    <m/>
  </r>
  <r>
    <x v="1"/>
    <s v="0.1.4.3.2.1"/>
    <x v="9"/>
    <s v="договорная цена"/>
    <x v="1"/>
    <n v="1"/>
    <n v="50.78"/>
    <m/>
    <m/>
    <n v="50.78"/>
  </r>
  <r>
    <x v="2"/>
    <m/>
    <x v="4"/>
    <s v="договорная цена"/>
    <x v="1"/>
    <n v="1.05"/>
    <n v="53.319000000000003"/>
    <m/>
    <m/>
    <n v="53.32"/>
  </r>
  <r>
    <x v="2"/>
    <m/>
    <x v="5"/>
    <s v="договорная цена"/>
    <x v="1"/>
    <n v="0.22"/>
    <n v="1.32"/>
    <m/>
    <m/>
    <n v="1.32"/>
  </r>
  <r>
    <x v="2"/>
    <m/>
    <x v="6"/>
    <s v="договорная цена"/>
    <x v="2"/>
    <n v="30"/>
    <n v="1343.4"/>
    <m/>
    <m/>
    <n v="1343.4"/>
  </r>
  <r>
    <x v="2"/>
    <m/>
    <x v="7"/>
    <s v="договорная цена"/>
    <x v="3"/>
    <n v="1.1000000000000001"/>
    <n v="205.92000000000004"/>
    <m/>
    <m/>
    <n v="205.92"/>
  </r>
  <r>
    <x v="0"/>
    <s v="0.1.4.3.2.1"/>
    <x v="11"/>
    <m/>
    <x v="0"/>
    <m/>
    <m/>
    <m/>
    <m/>
    <m/>
  </r>
  <r>
    <x v="1"/>
    <s v="0.1.4.3.2.1"/>
    <x v="12"/>
    <s v="договорная цена"/>
    <x v="3"/>
    <n v="1"/>
    <n v="64.34"/>
    <m/>
    <m/>
    <n v="64.34"/>
  </r>
  <r>
    <x v="2"/>
    <m/>
    <x v="13"/>
    <s v="договорная цена"/>
    <x v="4"/>
    <n v="51"/>
    <n v="3281"/>
    <m/>
    <m/>
    <n v="3281"/>
  </r>
  <r>
    <x v="2"/>
    <m/>
    <x v="5"/>
    <s v="договорная цена"/>
    <x v="1"/>
    <n v="0.02"/>
    <n v="1.2868000000000002"/>
    <m/>
    <m/>
    <n v="1.2868000000000002"/>
  </r>
  <r>
    <x v="2"/>
    <m/>
    <x v="7"/>
    <s v="договорная цена"/>
    <x v="3"/>
    <n v="1.1000000000000001"/>
    <n v="49.115000000000002"/>
    <m/>
    <m/>
    <n v="49.115000000000002"/>
  </r>
  <r>
    <x v="0"/>
    <s v="0.1.4.3.2.1"/>
    <x v="14"/>
    <m/>
    <x v="0"/>
    <m/>
    <m/>
    <m/>
    <m/>
    <m/>
  </r>
  <r>
    <x v="1"/>
    <s v="0.1.4.3.2.1"/>
    <x v="15"/>
    <s v="договорная цена"/>
    <x v="3"/>
    <n v="1"/>
    <n v="163.26000000000002"/>
    <m/>
    <m/>
    <n v="163.26000000000002"/>
  </r>
  <r>
    <x v="2"/>
    <m/>
    <x v="16"/>
    <s v="договорная цена"/>
    <x v="4"/>
    <n v="33"/>
    <n v="5388"/>
    <m/>
    <m/>
    <n v="5388"/>
  </r>
  <r>
    <x v="2"/>
    <m/>
    <x v="5"/>
    <s v="договорная цена"/>
    <x v="1"/>
    <n v="0.02"/>
    <n v="3.2652000000000005"/>
    <m/>
    <m/>
    <n v="3.2652000000000005"/>
  </r>
  <r>
    <x v="2"/>
    <m/>
    <x v="7"/>
    <s v="договорная цена"/>
    <x v="3"/>
    <n v="1.1000000000000001"/>
    <n v="48.454999999999998"/>
    <m/>
    <m/>
    <n v="48.454999999999998"/>
  </r>
  <r>
    <x v="0"/>
    <m/>
    <x v="17"/>
    <m/>
    <x v="0"/>
    <m/>
    <m/>
    <m/>
    <m/>
    <m/>
  </r>
  <r>
    <x v="0"/>
    <s v="0.1.4.3.2.1"/>
    <x v="18"/>
    <m/>
    <x v="0"/>
    <m/>
    <m/>
    <m/>
    <m/>
    <m/>
  </r>
  <r>
    <x v="1"/>
    <s v="0.1.4.3.2.1"/>
    <x v="3"/>
    <s v="договорная цена"/>
    <x v="1"/>
    <n v="1"/>
    <m/>
    <m/>
    <n v="17.940000000000001"/>
    <n v="17.940000000000001"/>
  </r>
  <r>
    <x v="2"/>
    <m/>
    <x v="4"/>
    <s v="договорная цена"/>
    <x v="1"/>
    <n v="1.05"/>
    <m/>
    <m/>
    <n v="18.84"/>
    <n v="18.84"/>
  </r>
  <r>
    <x v="2"/>
    <m/>
    <x v="5"/>
    <s v="договорная цена"/>
    <x v="1"/>
    <n v="0.22"/>
    <m/>
    <m/>
    <n v="0.80299999999999994"/>
    <n v="0.80299999999999994"/>
  </r>
  <r>
    <x v="2"/>
    <m/>
    <x v="6"/>
    <s v="договорная цена"/>
    <x v="2"/>
    <n v="30"/>
    <m/>
    <m/>
    <n v="429.3"/>
    <n v="429.3"/>
  </r>
  <r>
    <x v="2"/>
    <m/>
    <x v="7"/>
    <s v="договорная цена"/>
    <x v="3"/>
    <n v="1.1000000000000001"/>
    <m/>
    <m/>
    <n v="77.77000000000001"/>
    <n v="77.77000000000001"/>
  </r>
  <r>
    <x v="0"/>
    <s v="0.1.4.3.2.1"/>
    <x v="11"/>
    <m/>
    <x v="0"/>
    <m/>
    <m/>
    <m/>
    <m/>
    <m/>
  </r>
  <r>
    <x v="1"/>
    <s v="0.1.4.3.2.1"/>
    <x v="12"/>
    <s v="договорная цена"/>
    <x v="3"/>
    <n v="1"/>
    <m/>
    <m/>
    <n v="271.70999999999998"/>
    <n v="271.70999999999998"/>
  </r>
  <r>
    <x v="2"/>
    <m/>
    <x v="13"/>
    <s v="договорная цена"/>
    <x v="4"/>
    <n v="51"/>
    <m/>
    <m/>
    <n v="13857"/>
    <n v="13857"/>
  </r>
  <r>
    <x v="2"/>
    <m/>
    <x v="5"/>
    <s v="договорная цена"/>
    <x v="1"/>
    <n v="0.02"/>
    <m/>
    <m/>
    <n v="5.4341999999999997"/>
    <n v="5.4341999999999997"/>
  </r>
  <r>
    <x v="2"/>
    <m/>
    <x v="7"/>
    <s v="договорная цена"/>
    <x v="3"/>
    <n v="1.1000000000000001"/>
    <m/>
    <m/>
    <n v="142.38400000000001"/>
    <n v="142.38400000000001"/>
  </r>
  <r>
    <x v="0"/>
    <m/>
    <x v="19"/>
    <m/>
    <x v="0"/>
    <m/>
    <m/>
    <m/>
    <m/>
    <m/>
  </r>
  <r>
    <x v="1"/>
    <m/>
    <x v="20"/>
    <s v="договорная цена"/>
    <x v="4"/>
    <n v="1"/>
    <n v="16"/>
    <m/>
    <m/>
    <n v="16"/>
  </r>
  <r>
    <x v="2"/>
    <s v="ПР-1"/>
    <x v="21"/>
    <s v="договорная цена"/>
    <x v="5"/>
    <n v="1.04"/>
    <n v="0.15047759999999999"/>
    <m/>
    <m/>
    <n v="0.15047759999999999"/>
  </r>
  <r>
    <x v="2"/>
    <s v="ПР-1"/>
    <x v="22"/>
    <s v="договорная цена"/>
    <x v="5"/>
    <n v="1.04"/>
    <n v="1.0286640000000001E-2"/>
    <m/>
    <m/>
    <n v="1.0286640000000001E-2"/>
  </r>
  <r>
    <x v="2"/>
    <m/>
    <x v="5"/>
    <s v="договорная цена"/>
    <x v="1"/>
    <n v="1"/>
    <n v="4.6700000000000005E-2"/>
    <m/>
    <m/>
    <n v="4.6700000000000005E-2"/>
  </r>
  <r>
    <x v="2"/>
    <m/>
    <x v="23"/>
    <s v="договорная цена"/>
    <x v="5"/>
    <n v="1.04"/>
    <n v="4.3128384000000006E-2"/>
    <m/>
    <m/>
    <n v="4.3128384000000006E-2"/>
  </r>
  <r>
    <x v="1"/>
    <m/>
    <x v="24"/>
    <s v="договорная цена"/>
    <x v="4"/>
    <n v="1"/>
    <n v="85"/>
    <m/>
    <m/>
    <n v="85"/>
  </r>
  <r>
    <x v="2"/>
    <s v="ПРв-1"/>
    <x v="25"/>
    <s v="договорная цена"/>
    <x v="5"/>
    <n v="1.04"/>
    <n v="8.7906000000000012E-2"/>
    <m/>
    <m/>
    <n v="8.7906000000000012E-2"/>
  </r>
  <r>
    <x v="2"/>
    <s v="ПРв-1.1"/>
    <x v="26"/>
    <s v="договорная цена"/>
    <x v="5"/>
    <n v="1.04"/>
    <n v="0.1601418"/>
    <m/>
    <m/>
    <n v="0.1601418"/>
  </r>
  <r>
    <x v="2"/>
    <s v="ПРв-1.2"/>
    <x v="27"/>
    <s v="договорная цена"/>
    <x v="5"/>
    <n v="1.04"/>
    <n v="6.2935600000000008E-2"/>
    <m/>
    <m/>
    <n v="6.2935600000000008E-2"/>
  </r>
  <r>
    <x v="2"/>
    <s v="ПРв-1.3"/>
    <x v="28"/>
    <s v="договорная цена"/>
    <x v="5"/>
    <n v="1.04"/>
    <n v="6.4974000000000004E-2"/>
    <m/>
    <m/>
    <n v="6.4974000000000004E-2"/>
  </r>
  <r>
    <x v="2"/>
    <s v="ПРв-1.4"/>
    <x v="29"/>
    <s v="договорная цена"/>
    <x v="5"/>
    <n v="1.04"/>
    <n v="7.1089200000000005E-2"/>
    <m/>
    <m/>
    <n v="7.1089200000000005E-2"/>
  </r>
  <r>
    <x v="2"/>
    <s v="ПРв-1.5"/>
    <x v="30"/>
    <s v="договорная цена"/>
    <x v="5"/>
    <n v="1.04"/>
    <n v="7.3637200000000014E-2"/>
    <m/>
    <m/>
    <n v="7.3637200000000014E-2"/>
  </r>
  <r>
    <x v="2"/>
    <s v="ПРв-1.6"/>
    <x v="31"/>
    <s v="договорная цена"/>
    <x v="5"/>
    <n v="1.04"/>
    <n v="0.12994800000000001"/>
    <m/>
    <m/>
    <n v="0.12994800000000001"/>
  </r>
  <r>
    <x v="2"/>
    <s v="ПРв-1.7"/>
    <x v="32"/>
    <s v="договорная цена"/>
    <x v="5"/>
    <n v="1.04"/>
    <n v="0.15695680000000001"/>
    <m/>
    <m/>
    <n v="0.15695680000000001"/>
  </r>
  <r>
    <x v="2"/>
    <s v="ПРв-1.8"/>
    <x v="33"/>
    <s v="договорная цена"/>
    <x v="5"/>
    <n v="1.04"/>
    <n v="6.7394599999999999E-2"/>
    <m/>
    <m/>
    <n v="6.7394599999999999E-2"/>
  </r>
  <r>
    <x v="2"/>
    <s v="ПРв-1.9"/>
    <x v="34"/>
    <s v="договорная цена"/>
    <x v="5"/>
    <n v="1.04"/>
    <n v="0.1493128"/>
    <m/>
    <m/>
    <n v="0.1493128"/>
  </r>
  <r>
    <x v="2"/>
    <s v="ПРв-1.10"/>
    <x v="35"/>
    <s v="договорная цена"/>
    <x v="5"/>
    <n v="1.04"/>
    <n v="8.1535999999999997E-2"/>
    <m/>
    <m/>
    <n v="8.1535999999999997E-2"/>
  </r>
  <r>
    <x v="2"/>
    <s v="ПРв-1.11"/>
    <x v="36"/>
    <s v="договорная цена"/>
    <x v="5"/>
    <n v="1.04"/>
    <n v="0.10192000000000001"/>
    <m/>
    <m/>
    <n v="0.10192000000000001"/>
  </r>
  <r>
    <x v="2"/>
    <s v="ПРв-1.12"/>
    <x v="37"/>
    <s v="договорная цена"/>
    <x v="5"/>
    <n v="1.04"/>
    <n v="0.10778040000000001"/>
    <m/>
    <m/>
    <n v="0.10778040000000001"/>
  </r>
  <r>
    <x v="2"/>
    <s v="ПРв-1.13"/>
    <x v="38"/>
    <s v="договорная цена"/>
    <x v="5"/>
    <n v="1.04"/>
    <n v="7.1089200000000005E-2"/>
    <m/>
    <m/>
    <n v="7.1089200000000005E-2"/>
  </r>
  <r>
    <x v="2"/>
    <s v="ПРв-1.14"/>
    <x v="39"/>
    <s v="договорная цена"/>
    <x v="5"/>
    <n v="1.04"/>
    <n v="7.6439999999999994E-2"/>
    <m/>
    <m/>
    <n v="7.6439999999999994E-2"/>
  </r>
  <r>
    <x v="2"/>
    <s v="ПРв-1.15"/>
    <x v="40"/>
    <s v="договорная цена"/>
    <x v="5"/>
    <n v="1.04"/>
    <n v="7.8096200000000005E-2"/>
    <m/>
    <m/>
    <n v="7.8096200000000005E-2"/>
  </r>
  <r>
    <x v="2"/>
    <s v="ПРв-1.16"/>
    <x v="41"/>
    <s v="договорная цена"/>
    <x v="5"/>
    <n v="1.04"/>
    <n v="9.0963600000000006E-2"/>
    <m/>
    <m/>
    <n v="9.0963600000000006E-2"/>
  </r>
  <r>
    <x v="2"/>
    <s v="ПРв-1.17"/>
    <x v="30"/>
    <s v="договорная цена"/>
    <x v="5"/>
    <n v="1.04"/>
    <n v="7.3637200000000014E-2"/>
    <m/>
    <m/>
    <n v="7.3637200000000014E-2"/>
  </r>
  <r>
    <x v="2"/>
    <s v="ПРв-1.18"/>
    <x v="42"/>
    <s v="договорная цена"/>
    <x v="5"/>
    <n v="1.04"/>
    <n v="4.4590000000000005E-2"/>
    <m/>
    <m/>
    <n v="4.4590000000000005E-2"/>
  </r>
  <r>
    <x v="2"/>
    <s v="ПРв-1.19"/>
    <x v="43"/>
    <s v="договорная цена"/>
    <x v="5"/>
    <n v="1.04"/>
    <n v="6.0515000000000006E-2"/>
    <m/>
    <m/>
    <n v="6.0515000000000006E-2"/>
  </r>
  <r>
    <x v="2"/>
    <s v="ПРв-1.20"/>
    <x v="44"/>
    <s v="договорная цена"/>
    <x v="5"/>
    <n v="1.04"/>
    <n v="7.5675599999999996E-2"/>
    <m/>
    <m/>
    <n v="7.5675599999999996E-2"/>
  </r>
  <r>
    <x v="2"/>
    <s v="ПРв-1.21"/>
    <x v="45"/>
    <s v="договорная цена"/>
    <x v="5"/>
    <n v="1.04"/>
    <n v="0.11083800000000001"/>
    <m/>
    <m/>
    <n v="0.11083800000000001"/>
  </r>
  <r>
    <x v="2"/>
    <s v="У1"/>
    <x v="46"/>
    <s v="договорная цена"/>
    <x v="5"/>
    <n v="1.04"/>
    <n v="3.3124000000000008E-2"/>
    <m/>
    <m/>
    <n v="3.3124000000000008E-2"/>
  </r>
  <r>
    <x v="2"/>
    <s v="У2"/>
    <x v="47"/>
    <s v="договорная цена"/>
    <x v="5"/>
    <n v="1.04"/>
    <n v="1.4331200000000002E-3"/>
    <m/>
    <m/>
    <n v="1.4331200000000002E-3"/>
  </r>
  <r>
    <x v="2"/>
    <m/>
    <x v="23"/>
    <s v="договорная цена"/>
    <x v="5"/>
    <n v="1.04"/>
    <n v="7.0512000000000005E-2"/>
    <m/>
    <m/>
    <n v="7.0512000000000005E-2"/>
  </r>
  <r>
    <x v="2"/>
    <m/>
    <x v="5"/>
    <s v="договорная цена"/>
    <x v="1"/>
    <n v="1"/>
    <n v="6.3600000000000018E-2"/>
    <m/>
    <m/>
    <n v="6.3600000000000018E-2"/>
  </r>
  <r>
    <x v="2"/>
    <m/>
    <x v="48"/>
    <s v="договорная цена"/>
    <x v="6"/>
    <n v="1"/>
    <n v="28"/>
    <m/>
    <m/>
    <n v="28"/>
  </r>
  <r>
    <x v="2"/>
    <s v="ПР-1.3"/>
    <x v="49"/>
    <s v="договорная цена"/>
    <x v="5"/>
    <n v="1.04"/>
    <m/>
    <m/>
    <n v="6.0191039999999994E-2"/>
    <n v="6.0191039999999994E-2"/>
  </r>
  <r>
    <x v="2"/>
    <s v="ПР-5"/>
    <x v="50"/>
    <s v="договорная цена"/>
    <x v="5"/>
    <n v="1.04"/>
    <m/>
    <m/>
    <n v="3.0522752000000004E-2"/>
    <n v="3.0522752000000004E-2"/>
  </r>
  <r>
    <x v="2"/>
    <m/>
    <x v="5"/>
    <s v="договорная цена"/>
    <x v="1"/>
    <n v="1"/>
    <m/>
    <m/>
    <n v="7.4099999999999999E-2"/>
    <n v="7.4099999999999999E-2"/>
  </r>
  <r>
    <x v="2"/>
    <m/>
    <x v="23"/>
    <s v="договорная цена"/>
    <x v="5"/>
    <n v="1.04"/>
    <m/>
    <m/>
    <n v="6.8432832000000013E-2"/>
    <n v="7.1170145280000013E-2"/>
  </r>
  <r>
    <x v="2"/>
    <m/>
    <x v="51"/>
    <s v="договорная цена"/>
    <x v="5"/>
    <n v="1.04"/>
    <m/>
    <m/>
    <n v="4.4085600000000015E-3"/>
    <n v="4.5849024000000019E-3"/>
  </r>
  <r>
    <x v="0"/>
    <m/>
    <x v="52"/>
    <m/>
    <x v="0"/>
    <m/>
    <m/>
    <m/>
    <m/>
    <m/>
  </r>
  <r>
    <x v="0"/>
    <s v="0.1.4.3.2.1"/>
    <x v="18"/>
    <m/>
    <x v="0"/>
    <m/>
    <m/>
    <m/>
    <m/>
    <m/>
  </r>
  <r>
    <x v="1"/>
    <s v="0.1.4.3.2.1"/>
    <x v="3"/>
    <s v="договорная цена"/>
    <x v="1"/>
    <n v="1"/>
    <n v="1063.1600000000001"/>
    <m/>
    <m/>
    <n v="1063.1600000000001"/>
  </r>
  <r>
    <x v="2"/>
    <m/>
    <x v="4"/>
    <s v="договорная цена"/>
    <x v="1"/>
    <n v="1.05"/>
    <n v="1116.32"/>
    <m/>
    <m/>
    <n v="1116.32"/>
  </r>
  <r>
    <x v="2"/>
    <m/>
    <x v="5"/>
    <s v="договорная цена"/>
    <x v="1"/>
    <n v="0.22"/>
    <n v="39.841999999999999"/>
    <m/>
    <m/>
    <n v="39.841999999999999"/>
  </r>
  <r>
    <x v="2"/>
    <m/>
    <x v="6"/>
    <s v="договорная цена"/>
    <x v="2"/>
    <n v="30"/>
    <n v="26461.8"/>
    <m/>
    <m/>
    <n v="26461.8"/>
  </r>
  <r>
    <x v="2"/>
    <m/>
    <x v="7"/>
    <s v="договорная цена"/>
    <x v="3"/>
    <n v="1.1000000000000001"/>
    <n v="2219.558"/>
    <m/>
    <m/>
    <n v="2219.558"/>
  </r>
  <r>
    <x v="0"/>
    <s v="0.1.4.3.2.1"/>
    <x v="53"/>
    <m/>
    <x v="0"/>
    <m/>
    <m/>
    <m/>
    <m/>
    <m/>
  </r>
  <r>
    <x v="1"/>
    <s v="0.1.4.3.2.1"/>
    <x v="9"/>
    <s v="договорная цена"/>
    <x v="1"/>
    <n v="1"/>
    <n v="2299.2199999999998"/>
    <m/>
    <m/>
    <n v="2299.2199999999998"/>
  </r>
  <r>
    <x v="2"/>
    <m/>
    <x v="4"/>
    <s v="договорная цена"/>
    <x v="1"/>
    <n v="1.05"/>
    <n v="2414.1799999999998"/>
    <m/>
    <m/>
    <n v="2414.1799999999998"/>
  </r>
  <r>
    <x v="2"/>
    <m/>
    <x v="5"/>
    <s v="договорная цена"/>
    <x v="1"/>
    <n v="0.22"/>
    <n v="42.921999999999997"/>
    <m/>
    <m/>
    <n v="42.921999999999997"/>
  </r>
  <r>
    <x v="2"/>
    <m/>
    <x v="6"/>
    <s v="договорная цена"/>
    <x v="2"/>
    <n v="30"/>
    <n v="63123.6"/>
    <m/>
    <m/>
    <n v="63123.6"/>
  </r>
  <r>
    <x v="2"/>
    <m/>
    <x v="7"/>
    <s v="договорная цена"/>
    <x v="3"/>
    <n v="1.1000000000000001"/>
    <n v="4285.6660000000002"/>
    <m/>
    <m/>
    <n v="4285.6660000000002"/>
  </r>
  <r>
    <x v="0"/>
    <s v="0.1.4.3.2.1"/>
    <x v="54"/>
    <m/>
    <x v="0"/>
    <m/>
    <m/>
    <m/>
    <m/>
    <m/>
  </r>
  <r>
    <x v="1"/>
    <s v="0.1.4.3.2.1"/>
    <x v="55"/>
    <s v="договорная цена"/>
    <x v="1"/>
    <n v="1"/>
    <n v="14.29"/>
    <m/>
    <m/>
    <n v="14.29"/>
  </r>
  <r>
    <x v="2"/>
    <m/>
    <x v="13"/>
    <s v="договорная цена"/>
    <x v="4"/>
    <n v="400"/>
    <n v="5716"/>
    <m/>
    <m/>
    <n v="5716"/>
  </r>
  <r>
    <x v="2"/>
    <m/>
    <x v="5"/>
    <s v="договорная цена"/>
    <x v="1"/>
    <n v="0.24"/>
    <n v="3.4295999999999998"/>
    <m/>
    <m/>
    <n v="3.4295999999999998"/>
  </r>
  <r>
    <x v="2"/>
    <m/>
    <x v="7"/>
    <s v="договорная цена"/>
    <x v="3"/>
    <n v="1.1000000000000001"/>
    <n v="95.7"/>
    <m/>
    <m/>
    <n v="95.7"/>
  </r>
  <r>
    <x v="0"/>
    <s v="0.1.4.3.2.1"/>
    <x v="56"/>
    <m/>
    <x v="0"/>
    <m/>
    <m/>
    <m/>
    <m/>
    <m/>
  </r>
  <r>
    <x v="1"/>
    <s v="0.1.4.3.2.1"/>
    <x v="57"/>
    <s v="договорная цена"/>
    <x v="3"/>
    <n v="1"/>
    <n v="15177.264999999999"/>
    <m/>
    <m/>
    <n v="15177.264999999999"/>
  </r>
  <r>
    <x v="2"/>
    <m/>
    <x v="58"/>
    <s v="договорная цена"/>
    <x v="4"/>
    <n v="8"/>
    <n v="121418"/>
    <m/>
    <m/>
    <n v="121418"/>
  </r>
  <r>
    <x v="2"/>
    <m/>
    <x v="5"/>
    <s v="договорная цена"/>
    <x v="1"/>
    <s v="0,02"/>
    <n v="2.2308000000000003"/>
    <m/>
    <m/>
    <n v="2.2308000000000003"/>
  </r>
  <r>
    <x v="2"/>
    <m/>
    <x v="59"/>
    <s v="договорная цена"/>
    <x v="2"/>
    <s v="2"/>
    <n v="27566"/>
    <m/>
    <m/>
    <n v="27566"/>
  </r>
  <r>
    <x v="2"/>
    <m/>
    <x v="7"/>
    <s v="договорная цена"/>
    <x v="3"/>
    <s v="1,1"/>
    <n v="1962.7630000000001"/>
    <m/>
    <m/>
    <n v="1962.7630000000001"/>
  </r>
  <r>
    <x v="0"/>
    <s v="0.1.4.3.2.1"/>
    <x v="11"/>
    <m/>
    <x v="0"/>
    <m/>
    <m/>
    <m/>
    <m/>
    <m/>
  </r>
  <r>
    <x v="1"/>
    <s v="0.1.4.3.2.1"/>
    <x v="12"/>
    <s v="договорная цена"/>
    <x v="3"/>
    <n v="1"/>
    <n v="1829.6200000000001"/>
    <m/>
    <m/>
    <n v="1829.6200000000001"/>
  </r>
  <r>
    <x v="2"/>
    <m/>
    <x v="13"/>
    <s v="договорная цена"/>
    <x v="4"/>
    <n v="51"/>
    <n v="93311"/>
    <m/>
    <m/>
    <n v="93311"/>
  </r>
  <r>
    <x v="2"/>
    <m/>
    <x v="5"/>
    <s v="договорная цена"/>
    <x v="1"/>
    <n v="0.02"/>
    <n v="36.592400000000005"/>
    <m/>
    <m/>
    <n v="36.592400000000005"/>
  </r>
  <r>
    <x v="2"/>
    <m/>
    <x v="7"/>
    <s v="договорная цена"/>
    <x v="3"/>
    <n v="1.1000000000000001"/>
    <n v="114.09673846153846"/>
    <m/>
    <m/>
    <n v="114.09673846153846"/>
  </r>
  <r>
    <x v="1"/>
    <s v="0.1.4.3.2.1"/>
    <x v="60"/>
    <s v="договорная цена"/>
    <x v="4"/>
    <n v="1"/>
    <n v="116"/>
    <m/>
    <m/>
    <n v="116"/>
  </r>
  <r>
    <x v="2"/>
    <m/>
    <x v="61"/>
    <s v="договорная цена"/>
    <x v="4"/>
    <n v="1"/>
    <n v="1"/>
    <m/>
    <m/>
    <n v="1"/>
  </r>
  <r>
    <x v="2"/>
    <m/>
    <x v="62"/>
    <s v="договорная цена"/>
    <x v="4"/>
    <n v="1"/>
    <n v="3"/>
    <m/>
    <m/>
    <n v="3"/>
  </r>
  <r>
    <x v="2"/>
    <m/>
    <x v="63"/>
    <s v="договорная цена"/>
    <x v="4"/>
    <n v="1"/>
    <n v="16"/>
    <m/>
    <m/>
    <n v="16"/>
  </r>
  <r>
    <x v="2"/>
    <m/>
    <x v="64"/>
    <s v="договорная цена"/>
    <x v="4"/>
    <n v="1"/>
    <n v="1"/>
    <m/>
    <m/>
    <n v="1"/>
  </r>
  <r>
    <x v="2"/>
    <m/>
    <x v="65"/>
    <s v="договорная цена"/>
    <x v="4"/>
    <n v="1"/>
    <n v="1"/>
    <m/>
    <m/>
    <n v="1"/>
  </r>
  <r>
    <x v="2"/>
    <m/>
    <x v="66"/>
    <s v="договорная цена"/>
    <x v="4"/>
    <n v="1"/>
    <n v="4"/>
    <m/>
    <m/>
    <n v="4"/>
  </r>
  <r>
    <x v="2"/>
    <m/>
    <x v="67"/>
    <s v="договорная цена"/>
    <x v="4"/>
    <n v="1"/>
    <n v="1"/>
    <m/>
    <m/>
    <n v="1"/>
  </r>
  <r>
    <x v="2"/>
    <m/>
    <x v="68"/>
    <s v="договорная цена"/>
    <x v="4"/>
    <n v="1"/>
    <n v="1"/>
    <m/>
    <m/>
    <n v="1"/>
  </r>
  <r>
    <x v="2"/>
    <m/>
    <x v="69"/>
    <s v="договорная цена"/>
    <x v="4"/>
    <n v="1"/>
    <n v="3"/>
    <m/>
    <m/>
    <n v="3"/>
  </r>
  <r>
    <x v="2"/>
    <m/>
    <x v="70"/>
    <s v="договорная цена"/>
    <x v="4"/>
    <n v="1"/>
    <n v="1"/>
    <m/>
    <m/>
    <n v="1"/>
  </r>
  <r>
    <x v="2"/>
    <m/>
    <x v="71"/>
    <s v="договорная цена"/>
    <x v="4"/>
    <n v="1"/>
    <n v="1"/>
    <m/>
    <m/>
    <n v="1"/>
  </r>
  <r>
    <x v="2"/>
    <m/>
    <x v="72"/>
    <s v="договорная цена"/>
    <x v="4"/>
    <n v="1"/>
    <n v="1"/>
    <m/>
    <m/>
    <n v="1"/>
  </r>
  <r>
    <x v="2"/>
    <m/>
    <x v="72"/>
    <s v="договорная цена"/>
    <x v="4"/>
    <n v="1"/>
    <n v="13"/>
    <m/>
    <m/>
    <n v="13"/>
  </r>
  <r>
    <x v="2"/>
    <m/>
    <x v="73"/>
    <s v="договорная цена"/>
    <x v="4"/>
    <n v="1"/>
    <n v="3"/>
    <m/>
    <m/>
    <n v="3"/>
  </r>
  <r>
    <x v="2"/>
    <m/>
    <x v="74"/>
    <s v="договорная цена"/>
    <x v="4"/>
    <n v="1"/>
    <n v="1"/>
    <m/>
    <m/>
    <n v="1"/>
  </r>
  <r>
    <x v="2"/>
    <m/>
    <x v="75"/>
    <s v="договорная цена"/>
    <x v="4"/>
    <n v="1"/>
    <n v="1"/>
    <m/>
    <m/>
    <n v="1"/>
  </r>
  <r>
    <x v="2"/>
    <m/>
    <x v="76"/>
    <s v="договорная цена"/>
    <x v="4"/>
    <n v="1"/>
    <n v="1"/>
    <m/>
    <m/>
    <n v="1"/>
  </r>
  <r>
    <x v="2"/>
    <m/>
    <x v="77"/>
    <s v="договорная цена"/>
    <x v="4"/>
    <n v="1"/>
    <n v="1"/>
    <m/>
    <m/>
    <n v="1"/>
  </r>
  <r>
    <x v="2"/>
    <m/>
    <x v="78"/>
    <s v="договорная цена"/>
    <x v="4"/>
    <n v="1"/>
    <n v="4"/>
    <m/>
    <m/>
    <n v="4"/>
  </r>
  <r>
    <x v="2"/>
    <m/>
    <x v="79"/>
    <s v="договорная цена"/>
    <x v="4"/>
    <n v="1"/>
    <n v="1"/>
    <m/>
    <m/>
    <n v="1"/>
  </r>
  <r>
    <x v="2"/>
    <m/>
    <x v="80"/>
    <s v="договорная цена"/>
    <x v="4"/>
    <n v="1"/>
    <n v="1"/>
    <m/>
    <m/>
    <n v="1"/>
  </r>
  <r>
    <x v="2"/>
    <m/>
    <x v="81"/>
    <s v="договорная цена"/>
    <x v="4"/>
    <n v="1"/>
    <n v="1"/>
    <m/>
    <m/>
    <n v="1"/>
  </r>
  <r>
    <x v="2"/>
    <m/>
    <x v="82"/>
    <s v="договорная цена"/>
    <x v="5"/>
    <n v="1.04"/>
    <n v="1.23448"/>
    <m/>
    <m/>
    <n v="1.23448"/>
  </r>
  <r>
    <x v="2"/>
    <m/>
    <x v="83"/>
    <s v="договорная цена"/>
    <x v="1"/>
    <n v="1"/>
    <n v="0.1244"/>
    <m/>
    <m/>
    <n v="0.1244"/>
  </r>
  <r>
    <x v="2"/>
    <m/>
    <x v="23"/>
    <s v="договорная цена"/>
    <x v="5"/>
    <n v="1.04"/>
    <n v="0.11544"/>
    <m/>
    <m/>
    <n v="0.11544"/>
  </r>
  <r>
    <x v="2"/>
    <m/>
    <x v="48"/>
    <s v="договорная цена"/>
    <x v="6"/>
    <n v="1"/>
    <n v="64"/>
    <m/>
    <m/>
    <n v="64"/>
  </r>
  <r>
    <x v="1"/>
    <s v="0.1.4.3.2.1"/>
    <x v="84"/>
    <s v="договорная цена"/>
    <x v="4"/>
    <n v="1"/>
    <n v="945"/>
    <m/>
    <m/>
    <n v="945"/>
  </r>
  <r>
    <x v="2"/>
    <m/>
    <x v="61"/>
    <s v="договорная цена"/>
    <x v="4"/>
    <n v="1"/>
    <n v="112"/>
    <m/>
    <m/>
    <n v="112"/>
  </r>
  <r>
    <x v="2"/>
    <m/>
    <x v="62"/>
    <s v="договорная цена"/>
    <x v="4"/>
    <n v="1"/>
    <n v="21"/>
    <m/>
    <m/>
    <n v="21"/>
  </r>
  <r>
    <x v="2"/>
    <m/>
    <x v="85"/>
    <s v="договорная цена"/>
    <x v="4"/>
    <n v="1"/>
    <n v="14"/>
    <m/>
    <m/>
    <n v="14"/>
  </r>
  <r>
    <x v="2"/>
    <m/>
    <x v="86"/>
    <s v="договорная цена"/>
    <x v="4"/>
    <n v="1"/>
    <n v="105"/>
    <m/>
    <m/>
    <n v="105"/>
  </r>
  <r>
    <x v="2"/>
    <m/>
    <x v="64"/>
    <s v="договорная цена"/>
    <x v="4"/>
    <n v="1"/>
    <n v="7"/>
    <m/>
    <m/>
    <n v="7"/>
  </r>
  <r>
    <x v="2"/>
    <m/>
    <x v="66"/>
    <s v="договорная цена"/>
    <x v="4"/>
    <n v="1"/>
    <n v="49"/>
    <m/>
    <m/>
    <n v="49"/>
  </r>
  <r>
    <x v="2"/>
    <m/>
    <x v="69"/>
    <s v="договорная цена"/>
    <x v="4"/>
    <n v="1"/>
    <n v="14"/>
    <m/>
    <m/>
    <n v="14"/>
  </r>
  <r>
    <x v="2"/>
    <m/>
    <x v="87"/>
    <s v="договорная цена"/>
    <x v="4"/>
    <n v="1"/>
    <n v="7"/>
    <m/>
    <m/>
    <n v="7"/>
  </r>
  <r>
    <x v="2"/>
    <m/>
    <x v="72"/>
    <s v="договорная цена"/>
    <x v="4"/>
    <n v="1"/>
    <n v="98"/>
    <m/>
    <m/>
    <n v="98"/>
  </r>
  <r>
    <x v="2"/>
    <m/>
    <x v="73"/>
    <s v="договорная цена"/>
    <x v="4"/>
    <n v="1"/>
    <n v="28"/>
    <m/>
    <m/>
    <n v="28"/>
  </r>
  <r>
    <x v="2"/>
    <m/>
    <x v="88"/>
    <s v="договорная цена"/>
    <x v="4"/>
    <n v="1"/>
    <n v="7"/>
    <m/>
    <m/>
    <n v="7"/>
  </r>
  <r>
    <x v="2"/>
    <m/>
    <x v="75"/>
    <s v="договорная цена"/>
    <x v="4"/>
    <n v="1"/>
    <n v="7"/>
    <m/>
    <m/>
    <n v="7"/>
  </r>
  <r>
    <x v="2"/>
    <m/>
    <x v="76"/>
    <s v="договорная цена"/>
    <x v="4"/>
    <n v="1"/>
    <n v="7"/>
    <m/>
    <m/>
    <n v="7"/>
  </r>
  <r>
    <x v="2"/>
    <m/>
    <x v="85"/>
    <s v="договорная цена"/>
    <x v="4"/>
    <n v="1"/>
    <n v="21"/>
    <m/>
    <m/>
    <n v="21"/>
  </r>
  <r>
    <x v="2"/>
    <m/>
    <x v="78"/>
    <s v="договорная цена"/>
    <x v="4"/>
    <n v="1"/>
    <n v="28"/>
    <m/>
    <m/>
    <n v="28"/>
  </r>
  <r>
    <x v="2"/>
    <m/>
    <x v="79"/>
    <s v="договорная цена"/>
    <x v="4"/>
    <n v="1"/>
    <n v="7"/>
    <m/>
    <m/>
    <n v="7"/>
  </r>
  <r>
    <x v="2"/>
    <m/>
    <x v="89"/>
    <s v="договорная цена"/>
    <x v="4"/>
    <n v="1"/>
    <n v="7"/>
    <m/>
    <m/>
    <n v="7"/>
  </r>
  <r>
    <x v="2"/>
    <m/>
    <x v="82"/>
    <s v="договорная цена"/>
    <x v="5"/>
    <n v="1.04"/>
    <n v="5.5432000000000006"/>
    <m/>
    <m/>
    <n v="5.5432000000000006"/>
  </r>
  <r>
    <x v="2"/>
    <m/>
    <x v="83"/>
    <s v="договорная цена"/>
    <x v="1"/>
    <n v="1"/>
    <n v="1.0489999999999999"/>
    <m/>
    <m/>
    <n v="1.0489999999999999"/>
  </r>
  <r>
    <x v="2"/>
    <m/>
    <x v="23"/>
    <s v="договорная цена"/>
    <x v="5"/>
    <n v="1.04"/>
    <n v="0.97032000000000007"/>
    <m/>
    <m/>
    <n v="0.97032000000000007"/>
  </r>
  <r>
    <x v="2"/>
    <m/>
    <x v="48"/>
    <s v="договорная цена"/>
    <x v="6"/>
    <n v="1"/>
    <n v="686"/>
    <m/>
    <m/>
    <n v="686"/>
  </r>
  <r>
    <x v="1"/>
    <s v="0.1.4.3.2.1"/>
    <x v="90"/>
    <s v="договорная цена"/>
    <x v="4"/>
    <n v="1"/>
    <n v="1920"/>
    <m/>
    <m/>
    <n v="1920"/>
  </r>
  <r>
    <x v="2"/>
    <m/>
    <x v="61"/>
    <s v="договорная цена"/>
    <x v="4"/>
    <n v="1"/>
    <n v="256"/>
    <m/>
    <m/>
    <n v="256"/>
  </r>
  <r>
    <x v="2"/>
    <m/>
    <x v="62"/>
    <s v="договорная цена"/>
    <x v="4"/>
    <n v="1"/>
    <n v="48"/>
    <m/>
    <m/>
    <n v="48"/>
  </r>
  <r>
    <x v="2"/>
    <m/>
    <x v="85"/>
    <s v="договорная цена"/>
    <x v="4"/>
    <n v="1"/>
    <n v="80"/>
    <m/>
    <m/>
    <n v="80"/>
  </r>
  <r>
    <x v="2"/>
    <m/>
    <x v="86"/>
    <s v="договорная цена"/>
    <x v="4"/>
    <n v="1"/>
    <n v="240"/>
    <m/>
    <m/>
    <n v="240"/>
  </r>
  <r>
    <x v="2"/>
    <m/>
    <x v="64"/>
    <s v="договорная цена"/>
    <x v="4"/>
    <n v="1"/>
    <n v="16"/>
    <m/>
    <m/>
    <n v="16"/>
  </r>
  <r>
    <x v="2"/>
    <m/>
    <x v="66"/>
    <s v="договорная цена"/>
    <x v="4"/>
    <n v="1"/>
    <n v="96"/>
    <m/>
    <m/>
    <n v="96"/>
  </r>
  <r>
    <x v="2"/>
    <m/>
    <x v="69"/>
    <s v="договорная цена"/>
    <x v="4"/>
    <n v="1"/>
    <n v="32"/>
    <m/>
    <m/>
    <n v="32"/>
  </r>
  <r>
    <x v="2"/>
    <m/>
    <x v="87"/>
    <s v="договорная цена"/>
    <x v="4"/>
    <n v="1"/>
    <n v="16"/>
    <m/>
    <m/>
    <n v="16"/>
  </r>
  <r>
    <x v="2"/>
    <m/>
    <x v="72"/>
    <s v="договорная цена"/>
    <x v="4"/>
    <n v="1"/>
    <n v="176"/>
    <m/>
    <m/>
    <n v="176"/>
  </r>
  <r>
    <x v="2"/>
    <m/>
    <x v="73"/>
    <s v="договорная цена"/>
    <x v="4"/>
    <n v="1"/>
    <n v="48"/>
    <m/>
    <m/>
    <n v="48"/>
  </r>
  <r>
    <x v="2"/>
    <m/>
    <x v="88"/>
    <s v="договорная цена"/>
    <x v="4"/>
    <n v="1"/>
    <n v="16"/>
    <m/>
    <m/>
    <n v="16"/>
  </r>
  <r>
    <x v="2"/>
    <m/>
    <x v="75"/>
    <s v="договорная цена"/>
    <x v="4"/>
    <n v="1"/>
    <n v="16"/>
    <m/>
    <m/>
    <n v="16"/>
  </r>
  <r>
    <x v="2"/>
    <m/>
    <x v="76"/>
    <s v="договорная цена"/>
    <x v="4"/>
    <n v="1"/>
    <n v="16"/>
    <m/>
    <m/>
    <n v="16"/>
  </r>
  <r>
    <x v="2"/>
    <m/>
    <x v="85"/>
    <s v="договорная цена"/>
    <x v="4"/>
    <n v="1"/>
    <n v="48"/>
    <m/>
    <m/>
    <n v="48"/>
  </r>
  <r>
    <x v="2"/>
    <m/>
    <x v="78"/>
    <s v="договорная цена"/>
    <x v="4"/>
    <n v="1"/>
    <n v="64"/>
    <m/>
    <m/>
    <n v="64"/>
  </r>
  <r>
    <x v="2"/>
    <m/>
    <x v="79"/>
    <s v="договорная цена"/>
    <x v="4"/>
    <n v="1"/>
    <n v="16"/>
    <m/>
    <m/>
    <n v="16"/>
  </r>
  <r>
    <x v="2"/>
    <m/>
    <x v="89"/>
    <s v="договорная цена"/>
    <x v="4"/>
    <n v="1"/>
    <n v="16"/>
    <m/>
    <m/>
    <n v="16"/>
  </r>
  <r>
    <x v="2"/>
    <m/>
    <x v="82"/>
    <s v="договорная цена"/>
    <x v="5"/>
    <n v="1.04"/>
    <n v="12.675520000000001"/>
    <m/>
    <m/>
    <n v="12.675520000000001"/>
  </r>
  <r>
    <x v="2"/>
    <m/>
    <x v="83"/>
    <s v="договорная цена"/>
    <x v="1"/>
    <n v="1"/>
    <n v="1.9390000000000001"/>
    <m/>
    <m/>
    <n v="1.9390000000000001"/>
  </r>
  <r>
    <x v="2"/>
    <m/>
    <x v="23"/>
    <s v="договорная цена"/>
    <x v="5"/>
    <n v="1.04"/>
    <n v="1.79504"/>
    <m/>
    <m/>
    <n v="1.79504"/>
  </r>
  <r>
    <x v="2"/>
    <m/>
    <x v="48"/>
    <s v="договорная цена"/>
    <x v="6"/>
    <n v="1"/>
    <n v="1536"/>
    <m/>
    <m/>
    <n v="1536"/>
  </r>
  <r>
    <x v="0"/>
    <m/>
    <x v="91"/>
    <s v="договорная цена"/>
    <x v="0"/>
    <m/>
    <m/>
    <m/>
    <m/>
    <n v="0"/>
  </r>
  <r>
    <x v="1"/>
    <m/>
    <x v="92"/>
    <s v="договорная цена"/>
    <x v="3"/>
    <m/>
    <n v="111.65"/>
    <m/>
    <m/>
    <n v="111.65"/>
  </r>
  <r>
    <x v="2"/>
    <m/>
    <x v="93"/>
    <s v="договорная цена"/>
    <x v="3"/>
    <n v="1"/>
    <n v="111.65"/>
    <m/>
    <m/>
    <n v="111.65"/>
  </r>
  <r>
    <x v="2"/>
    <m/>
    <x v="94"/>
    <s v="договорная цена"/>
    <x v="3"/>
    <n v="1.05"/>
    <n v="117.23250000000002"/>
    <m/>
    <m/>
    <n v="117.23250000000002"/>
  </r>
  <r>
    <x v="3"/>
    <m/>
    <x v="95"/>
    <s v="договорная цена"/>
    <x v="7"/>
    <n v="1"/>
    <n v="1"/>
    <m/>
    <m/>
    <n v="1"/>
  </r>
  <r>
    <x v="4"/>
    <m/>
    <x v="96"/>
    <s v="договорная цена"/>
    <x v="8"/>
    <n v="1"/>
    <n v="14"/>
    <m/>
    <m/>
    <n v="14"/>
  </r>
  <r>
    <x v="0"/>
    <m/>
    <x v="97"/>
    <s v="договорная цена"/>
    <x v="8"/>
    <m/>
    <n v="14"/>
    <m/>
    <m/>
    <n v="14"/>
  </r>
  <r>
    <x v="0"/>
    <m/>
    <x v="98"/>
    <s v="договорная цена"/>
    <x v="8"/>
    <m/>
    <n v="14"/>
    <m/>
    <m/>
    <n v="14"/>
  </r>
  <r>
    <x v="0"/>
    <m/>
    <x v="99"/>
    <s v="договорная цена"/>
    <x v="8"/>
    <m/>
    <n v="14"/>
    <m/>
    <m/>
    <n v="13"/>
  </r>
  <r>
    <x v="0"/>
    <m/>
    <x v="100"/>
    <s v="договорная цена"/>
    <x v="8"/>
    <m/>
    <n v="14"/>
    <m/>
    <m/>
    <n v="13"/>
  </r>
  <r>
    <x v="0"/>
    <m/>
    <x v="101"/>
    <m/>
    <x v="0"/>
    <m/>
    <m/>
    <m/>
    <m/>
    <m/>
  </r>
  <r>
    <x v="0"/>
    <m/>
    <x v="102"/>
    <m/>
    <x v="0"/>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BA3648B-7666-40C4-9120-E7AF49367D0E}" name="Сводная таблица4" cacheId="33" applyNumberFormats="0" applyBorderFormats="0" applyFontFormats="0" applyPatternFormats="0" applyAlignmentFormats="0" applyWidthHeightFormats="1" dataCaption="Значения" updatedVersion="7" minRefreshableVersion="3" useAutoFormatting="1" itemPrintTitles="1" createdVersion="7" indent="0" compact="0" compactData="0" gridDropZones="1" fieldListSortAscending="1">
  <location ref="A3:C87" firstHeaderRow="2" firstDataRow="2" firstDataCol="2" rowPageCount="1" colPageCount="1"/>
  <pivotFields count="10">
    <pivotField axis="axisPage" compact="0" outline="0" multipleItemSelectionAllowed="1" showAll="0">
      <items count="6">
        <item x="4"/>
        <item x="2"/>
        <item x="1"/>
        <item x="3"/>
        <item h="1" x="0"/>
        <item t="default"/>
      </items>
    </pivotField>
    <pivotField compact="0" outline="0" showAll="0"/>
    <pivotField axis="axisRow" compact="0" outline="0" showAll="0" defaultSubtotal="0">
      <items count="103">
        <item x="22"/>
        <item x="51"/>
        <item x="56"/>
        <item x="42"/>
        <item x="46"/>
        <item x="26"/>
        <item x="43"/>
        <item x="27"/>
        <item x="31"/>
        <item x="28"/>
        <item x="33"/>
        <item x="29"/>
        <item x="38"/>
        <item x="30"/>
        <item x="34"/>
        <item x="44"/>
        <item x="39"/>
        <item x="40"/>
        <item x="32"/>
        <item x="35"/>
        <item x="25"/>
        <item x="41"/>
        <item x="36"/>
        <item x="37"/>
        <item x="45"/>
        <item x="47"/>
        <item x="23"/>
        <item x="4"/>
        <item x="102"/>
        <item x="100"/>
        <item x="91"/>
        <item x="48"/>
        <item x="1"/>
        <item x="97"/>
        <item x="13"/>
        <item x="16"/>
        <item x="6"/>
        <item x="59"/>
        <item x="93"/>
        <item x="24"/>
        <item x="20"/>
        <item x="60"/>
        <item x="84"/>
        <item x="90"/>
        <item x="19"/>
        <item x="98"/>
        <item x="101"/>
        <item x="94"/>
        <item x="17"/>
        <item x="73"/>
        <item x="87"/>
        <item x="72"/>
        <item x="88"/>
        <item x="74"/>
        <item x="75"/>
        <item x="61"/>
        <item x="76"/>
        <item x="62"/>
        <item x="77"/>
        <item x="63"/>
        <item x="85"/>
        <item x="86"/>
        <item x="64"/>
        <item x="65"/>
        <item x="78"/>
        <item x="79"/>
        <item x="66"/>
        <item x="67"/>
        <item x="80"/>
        <item x="68"/>
        <item x="81"/>
        <item x="89"/>
        <item x="69"/>
        <item x="70"/>
        <item x="71"/>
        <item x="5"/>
        <item x="7"/>
        <item x="58"/>
        <item x="99"/>
        <item x="82"/>
        <item x="21"/>
        <item x="50"/>
        <item x="49"/>
        <item x="95"/>
        <item x="96"/>
        <item x="92"/>
        <item x="11"/>
        <item x="14"/>
        <item x="52"/>
        <item x="0"/>
        <item x="54"/>
        <item x="53"/>
        <item x="10"/>
        <item x="8"/>
        <item x="9"/>
        <item x="18"/>
        <item x="2"/>
        <item x="3"/>
        <item x="12"/>
        <item x="15"/>
        <item x="57"/>
        <item x="55"/>
        <item x="83"/>
      </items>
    </pivotField>
    <pivotField compact="0" outline="0" showAll="0"/>
    <pivotField axis="axisRow" compact="0" outline="0" showAll="0" defaultSubtotal="0">
      <items count="9">
        <item x="2"/>
        <item x="3"/>
        <item x="1"/>
        <item x="8"/>
        <item x="5"/>
        <item x="7"/>
        <item x="6"/>
        <item x="4"/>
        <item x="0"/>
      </items>
    </pivotField>
    <pivotField compact="0" outline="0" showAll="0"/>
    <pivotField compact="0" outline="0" showAll="0"/>
    <pivotField compact="0" outline="0" showAll="0"/>
    <pivotField compact="0" outline="0" showAll="0"/>
    <pivotField dataField="1" compact="0" outline="0" showAll="0"/>
  </pivotFields>
  <rowFields count="2">
    <field x="2"/>
    <field x="4"/>
  </rowFields>
  <rowItems count="83">
    <i>
      <x/>
      <x v="4"/>
    </i>
    <i>
      <x v="1"/>
      <x v="4"/>
    </i>
    <i>
      <x v="3"/>
      <x v="4"/>
    </i>
    <i>
      <x v="4"/>
      <x v="4"/>
    </i>
    <i>
      <x v="5"/>
      <x v="4"/>
    </i>
    <i>
      <x v="6"/>
      <x v="4"/>
    </i>
    <i>
      <x v="7"/>
      <x v="4"/>
    </i>
    <i>
      <x v="8"/>
      <x v="4"/>
    </i>
    <i>
      <x v="9"/>
      <x v="4"/>
    </i>
    <i>
      <x v="10"/>
      <x v="4"/>
    </i>
    <i>
      <x v="11"/>
      <x v="4"/>
    </i>
    <i>
      <x v="12"/>
      <x v="4"/>
    </i>
    <i>
      <x v="13"/>
      <x v="4"/>
    </i>
    <i>
      <x v="14"/>
      <x v="4"/>
    </i>
    <i>
      <x v="15"/>
      <x v="4"/>
    </i>
    <i>
      <x v="16"/>
      <x v="4"/>
    </i>
    <i>
      <x v="17"/>
      <x v="4"/>
    </i>
    <i>
      <x v="18"/>
      <x v="4"/>
    </i>
    <i>
      <x v="19"/>
      <x v="4"/>
    </i>
    <i>
      <x v="20"/>
      <x v="4"/>
    </i>
    <i>
      <x v="21"/>
      <x v="4"/>
    </i>
    <i>
      <x v="22"/>
      <x v="4"/>
    </i>
    <i>
      <x v="23"/>
      <x v="4"/>
    </i>
    <i>
      <x v="24"/>
      <x v="4"/>
    </i>
    <i>
      <x v="25"/>
      <x v="4"/>
    </i>
    <i>
      <x v="26"/>
      <x v="4"/>
    </i>
    <i>
      <x v="27"/>
      <x v="2"/>
    </i>
    <i>
      <x v="31"/>
      <x v="6"/>
    </i>
    <i>
      <x v="34"/>
      <x v="7"/>
    </i>
    <i>
      <x v="35"/>
      <x v="7"/>
    </i>
    <i>
      <x v="36"/>
      <x/>
    </i>
    <i>
      <x v="37"/>
      <x/>
    </i>
    <i>
      <x v="38"/>
      <x v="1"/>
    </i>
    <i>
      <x v="39"/>
      <x v="7"/>
    </i>
    <i>
      <x v="40"/>
      <x v="7"/>
    </i>
    <i>
      <x v="41"/>
      <x v="7"/>
    </i>
    <i>
      <x v="42"/>
      <x v="7"/>
    </i>
    <i>
      <x v="43"/>
      <x v="7"/>
    </i>
    <i>
      <x v="47"/>
      <x v="1"/>
    </i>
    <i>
      <x v="49"/>
      <x v="7"/>
    </i>
    <i>
      <x v="50"/>
      <x v="7"/>
    </i>
    <i>
      <x v="51"/>
      <x v="7"/>
    </i>
    <i>
      <x v="52"/>
      <x v="7"/>
    </i>
    <i>
      <x v="53"/>
      <x v="7"/>
    </i>
    <i>
      <x v="54"/>
      <x v="7"/>
    </i>
    <i>
      <x v="55"/>
      <x v="7"/>
    </i>
    <i>
      <x v="56"/>
      <x v="7"/>
    </i>
    <i>
      <x v="57"/>
      <x v="7"/>
    </i>
    <i>
      <x v="58"/>
      <x v="7"/>
    </i>
    <i>
      <x v="59"/>
      <x v="7"/>
    </i>
    <i>
      <x v="60"/>
      <x v="7"/>
    </i>
    <i>
      <x v="61"/>
      <x v="7"/>
    </i>
    <i>
      <x v="62"/>
      <x v="7"/>
    </i>
    <i>
      <x v="63"/>
      <x v="7"/>
    </i>
    <i>
      <x v="64"/>
      <x v="7"/>
    </i>
    <i>
      <x v="65"/>
      <x v="7"/>
    </i>
    <i>
      <x v="66"/>
      <x v="7"/>
    </i>
    <i>
      <x v="67"/>
      <x v="7"/>
    </i>
    <i>
      <x v="68"/>
      <x v="7"/>
    </i>
    <i>
      <x v="69"/>
      <x v="7"/>
    </i>
    <i>
      <x v="70"/>
      <x v="7"/>
    </i>
    <i>
      <x v="71"/>
      <x v="7"/>
    </i>
    <i>
      <x v="72"/>
      <x v="7"/>
    </i>
    <i>
      <x v="73"/>
      <x v="7"/>
    </i>
    <i>
      <x v="74"/>
      <x v="7"/>
    </i>
    <i>
      <x v="75"/>
      <x v="2"/>
    </i>
    <i>
      <x v="76"/>
      <x v="1"/>
    </i>
    <i>
      <x v="77"/>
      <x v="7"/>
    </i>
    <i>
      <x v="79"/>
      <x v="4"/>
    </i>
    <i>
      <x v="80"/>
      <x v="4"/>
    </i>
    <i>
      <x v="81"/>
      <x v="4"/>
    </i>
    <i>
      <x v="82"/>
      <x v="4"/>
    </i>
    <i>
      <x v="83"/>
      <x v="5"/>
    </i>
    <i>
      <x v="84"/>
      <x v="3"/>
    </i>
    <i>
      <x v="85"/>
      <x v="1"/>
    </i>
    <i>
      <x v="94"/>
      <x v="2"/>
    </i>
    <i>
      <x v="97"/>
      <x v="2"/>
    </i>
    <i>
      <x v="98"/>
      <x v="1"/>
    </i>
    <i>
      <x v="99"/>
      <x v="1"/>
    </i>
    <i>
      <x v="100"/>
      <x v="1"/>
    </i>
    <i>
      <x v="101"/>
      <x v="2"/>
    </i>
    <i>
      <x v="102"/>
      <x v="2"/>
    </i>
    <i t="grand">
      <x/>
    </i>
  </rowItems>
  <colItems count="1">
    <i/>
  </colItems>
  <pageFields count="1">
    <pageField fld="0" hier="-1"/>
  </pageFields>
  <dataFields count="1">
    <dataField name="Сумма по полю Всего кол-во" fld="9"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8F337-7759-4F0F-A75D-F987106B0F28}">
  <dimension ref="A1:AC257"/>
  <sheetViews>
    <sheetView view="pageBreakPreview" topLeftCell="B187" zoomScaleNormal="100" zoomScaleSheetLayoutView="100" workbookViewId="0">
      <selection activeCell="K201" sqref="K201"/>
    </sheetView>
  </sheetViews>
  <sheetFormatPr defaultColWidth="14.42578125" defaultRowHeight="15" outlineLevelRow="1" outlineLevelCol="1" x14ac:dyDescent="0.25"/>
  <cols>
    <col min="1" max="1" width="11" style="114" customWidth="1"/>
    <col min="2" max="2" width="7.7109375" style="114" customWidth="1"/>
    <col min="3" max="3" width="15.140625" style="112" customWidth="1"/>
    <col min="4" max="4" width="62" style="115" customWidth="1"/>
    <col min="5" max="5" width="20.7109375" style="115" bestFit="1" customWidth="1"/>
    <col min="6" max="6" width="9" style="115" customWidth="1"/>
    <col min="7" max="7" width="8.5703125" style="115" customWidth="1"/>
    <col min="8" max="8" width="12.7109375" style="115" customWidth="1" outlineLevel="1"/>
    <col min="9" max="9" width="13" style="115" customWidth="1" outlineLevel="1"/>
    <col min="10" max="10" width="19.28515625" style="115" customWidth="1" outlineLevel="1"/>
    <col min="11" max="11" width="13.42578125" style="115" customWidth="1"/>
    <col min="12" max="12" width="14.7109375" style="115" customWidth="1"/>
    <col min="13" max="13" width="11.85546875" style="115" bestFit="1" customWidth="1"/>
    <col min="14" max="14" width="15.85546875" style="115" bestFit="1" customWidth="1"/>
    <col min="15" max="15" width="16.5703125" style="115" customWidth="1"/>
    <col min="16" max="16" width="15.85546875" style="115" customWidth="1"/>
    <col min="17" max="17" width="17.5703125" style="115" customWidth="1"/>
    <col min="18" max="18" width="64.28515625" style="316" customWidth="1"/>
    <col min="19" max="19" width="14.85546875" style="295" customWidth="1"/>
    <col min="20" max="20" width="12" style="295" customWidth="1"/>
    <col min="21" max="21" width="12" style="115" customWidth="1"/>
    <col min="22" max="29" width="8.7109375" style="115" customWidth="1"/>
    <col min="30" max="16384" width="14.42578125" style="115"/>
  </cols>
  <sheetData>
    <row r="1" spans="1:29" s="282" customFormat="1" ht="15.75" outlineLevel="1" x14ac:dyDescent="0.25">
      <c r="A1" s="278"/>
      <c r="B1" s="278"/>
      <c r="C1" s="19"/>
      <c r="D1" s="279"/>
      <c r="E1" s="280"/>
      <c r="F1" s="280"/>
      <c r="G1" s="279"/>
      <c r="H1" s="279"/>
      <c r="I1" s="279"/>
      <c r="J1" s="279"/>
      <c r="K1" s="281"/>
      <c r="L1" s="20"/>
      <c r="M1" s="21"/>
      <c r="N1" s="21"/>
      <c r="O1" s="22"/>
      <c r="P1" s="22"/>
      <c r="Q1" s="23" t="s">
        <v>13</v>
      </c>
      <c r="R1" s="160"/>
      <c r="S1" s="161"/>
      <c r="T1" s="161"/>
      <c r="U1" s="24"/>
      <c r="V1" s="24"/>
      <c r="W1" s="24"/>
      <c r="X1" s="24"/>
      <c r="Y1" s="25"/>
      <c r="Z1" s="25"/>
      <c r="AA1" s="25"/>
      <c r="AB1" s="25"/>
      <c r="AC1" s="25"/>
    </row>
    <row r="2" spans="1:29" s="282" customFormat="1" ht="15.75" outlineLevel="1" x14ac:dyDescent="0.25">
      <c r="A2" s="278"/>
      <c r="B2" s="278"/>
      <c r="C2" s="19"/>
      <c r="D2" s="279"/>
      <c r="E2" s="280"/>
      <c r="F2" s="280"/>
      <c r="G2" s="279"/>
      <c r="H2" s="279"/>
      <c r="I2" s="279"/>
      <c r="J2" s="279"/>
      <c r="K2" s="281"/>
      <c r="L2" s="20"/>
      <c r="M2" s="21"/>
      <c r="N2" s="21"/>
      <c r="O2" s="22"/>
      <c r="P2" s="22"/>
      <c r="Q2" s="23" t="s">
        <v>14</v>
      </c>
      <c r="R2" s="160"/>
      <c r="S2" s="161"/>
      <c r="T2" s="161"/>
      <c r="U2" s="24"/>
      <c r="V2" s="24"/>
      <c r="W2" s="24"/>
      <c r="X2" s="24"/>
      <c r="Y2" s="25"/>
      <c r="Z2" s="25"/>
      <c r="AA2" s="25"/>
      <c r="AB2" s="25"/>
      <c r="AC2" s="25"/>
    </row>
    <row r="3" spans="1:29" ht="12.75" customHeight="1" outlineLevel="1" x14ac:dyDescent="0.25">
      <c r="A3" s="283"/>
      <c r="B3" s="283"/>
      <c r="C3" s="26"/>
      <c r="D3" s="284"/>
      <c r="E3" s="285"/>
      <c r="F3" s="285"/>
      <c r="G3" s="284"/>
      <c r="H3" s="284"/>
      <c r="I3" s="284"/>
      <c r="J3" s="284"/>
      <c r="K3" s="286"/>
      <c r="L3" s="20"/>
      <c r="M3" s="27"/>
      <c r="N3" s="27"/>
      <c r="O3" s="28"/>
      <c r="P3" s="28"/>
      <c r="Q3" s="29"/>
      <c r="R3" s="160"/>
      <c r="S3" s="161"/>
      <c r="T3" s="161"/>
      <c r="U3" s="24"/>
      <c r="V3" s="24"/>
      <c r="W3" s="24"/>
      <c r="X3" s="24"/>
      <c r="Y3" s="25"/>
      <c r="Z3" s="25"/>
      <c r="AA3" s="25"/>
      <c r="AB3" s="25"/>
      <c r="AC3" s="25"/>
    </row>
    <row r="4" spans="1:29" ht="21" customHeight="1" outlineLevel="1" x14ac:dyDescent="0.25">
      <c r="A4" s="527" t="s">
        <v>0</v>
      </c>
      <c r="B4" s="527"/>
      <c r="C4" s="527"/>
      <c r="D4" s="527"/>
      <c r="E4" s="527"/>
      <c r="F4" s="527"/>
      <c r="G4" s="527"/>
      <c r="H4" s="527"/>
      <c r="I4" s="527"/>
      <c r="J4" s="527"/>
      <c r="K4" s="527"/>
      <c r="L4" s="527"/>
      <c r="M4" s="527"/>
      <c r="N4" s="527"/>
      <c r="O4" s="527"/>
      <c r="P4" s="527"/>
      <c r="Q4" s="527"/>
      <c r="R4" s="160"/>
      <c r="S4" s="161"/>
      <c r="T4" s="161"/>
      <c r="U4" s="24"/>
      <c r="V4" s="24"/>
      <c r="W4" s="24"/>
      <c r="X4" s="24"/>
      <c r="Y4" s="25"/>
      <c r="Z4" s="25"/>
      <c r="AA4" s="25"/>
      <c r="AB4" s="25"/>
      <c r="AC4" s="25"/>
    </row>
    <row r="5" spans="1:29" ht="15" customHeight="1" outlineLevel="1" x14ac:dyDescent="0.25">
      <c r="A5" s="528" t="s">
        <v>1</v>
      </c>
      <c r="B5" s="528"/>
      <c r="C5" s="528"/>
      <c r="D5" s="528"/>
      <c r="E5" s="528"/>
      <c r="F5" s="528"/>
      <c r="G5" s="528"/>
      <c r="H5" s="528"/>
      <c r="I5" s="528"/>
      <c r="J5" s="528"/>
      <c r="K5" s="528"/>
      <c r="L5" s="528"/>
      <c r="M5" s="528"/>
      <c r="N5" s="528"/>
      <c r="O5" s="528"/>
      <c r="P5" s="528"/>
      <c r="Q5" s="528"/>
      <c r="R5" s="160"/>
      <c r="S5" s="161"/>
      <c r="T5" s="161"/>
      <c r="U5" s="24"/>
      <c r="V5" s="24"/>
      <c r="W5" s="24"/>
      <c r="X5" s="24"/>
      <c r="Y5" s="25"/>
      <c r="Z5" s="25"/>
      <c r="AA5" s="25"/>
      <c r="AB5" s="25"/>
      <c r="AC5" s="25"/>
    </row>
    <row r="6" spans="1:29" ht="15.75" outlineLevel="1" x14ac:dyDescent="0.25">
      <c r="A6" s="528" t="s">
        <v>27</v>
      </c>
      <c r="B6" s="528"/>
      <c r="C6" s="528"/>
      <c r="D6" s="528"/>
      <c r="E6" s="528"/>
      <c r="F6" s="528"/>
      <c r="G6" s="528"/>
      <c r="H6" s="528"/>
      <c r="I6" s="528"/>
      <c r="J6" s="528"/>
      <c r="K6" s="528"/>
      <c r="L6" s="528"/>
      <c r="M6" s="528"/>
      <c r="N6" s="528"/>
      <c r="O6" s="528"/>
      <c r="P6" s="528"/>
      <c r="Q6" s="528"/>
      <c r="R6" s="160"/>
      <c r="S6" s="161"/>
      <c r="T6" s="161"/>
      <c r="U6" s="24"/>
      <c r="V6" s="24"/>
      <c r="W6" s="24"/>
      <c r="X6" s="24"/>
      <c r="Y6" s="25"/>
      <c r="Z6" s="25"/>
      <c r="AA6" s="25"/>
      <c r="AB6" s="25"/>
      <c r="AC6" s="25"/>
    </row>
    <row r="7" spans="1:29" ht="15.75" x14ac:dyDescent="0.25">
      <c r="A7" s="30"/>
      <c r="B7" s="30"/>
      <c r="C7" s="236"/>
      <c r="D7" s="236"/>
      <c r="E7" s="236"/>
      <c r="F7" s="236"/>
      <c r="G7" s="236"/>
      <c r="H7" s="236"/>
      <c r="I7" s="236"/>
      <c r="J7" s="236"/>
      <c r="K7" s="236"/>
      <c r="L7" s="236"/>
      <c r="M7" s="236"/>
      <c r="N7" s="236"/>
      <c r="O7" s="236"/>
      <c r="P7" s="236"/>
      <c r="Q7" s="236"/>
      <c r="R7" s="160"/>
      <c r="S7" s="161"/>
      <c r="T7" s="161"/>
      <c r="U7" s="24"/>
      <c r="V7" s="24"/>
      <c r="W7" s="24"/>
      <c r="X7" s="24"/>
      <c r="Y7" s="25"/>
      <c r="Z7" s="25"/>
      <c r="AA7" s="25"/>
      <c r="AB7" s="25"/>
      <c r="AC7" s="25"/>
    </row>
    <row r="8" spans="1:29" ht="15.75" customHeight="1" x14ac:dyDescent="0.25">
      <c r="A8" s="529" t="s">
        <v>2</v>
      </c>
      <c r="B8" s="238"/>
      <c r="C8" s="532" t="s">
        <v>3</v>
      </c>
      <c r="D8" s="535" t="s">
        <v>4</v>
      </c>
      <c r="E8" s="535" t="s">
        <v>170</v>
      </c>
      <c r="F8" s="535" t="s">
        <v>6</v>
      </c>
      <c r="G8" s="538" t="s">
        <v>31</v>
      </c>
      <c r="H8" s="176"/>
      <c r="I8" s="176"/>
      <c r="J8" s="176"/>
      <c r="K8" s="535" t="s">
        <v>33</v>
      </c>
      <c r="L8" s="541"/>
      <c r="M8" s="542"/>
      <c r="N8" s="542"/>
      <c r="O8" s="542"/>
      <c r="P8" s="542"/>
      <c r="Q8" s="542"/>
      <c r="R8" s="543"/>
      <c r="S8" s="161"/>
      <c r="T8" s="161"/>
      <c r="U8" s="24"/>
      <c r="V8" s="24"/>
      <c r="W8" s="24"/>
      <c r="X8" s="24"/>
      <c r="Y8" s="25"/>
      <c r="Z8" s="25"/>
      <c r="AA8" s="25"/>
      <c r="AB8" s="25"/>
      <c r="AC8" s="25"/>
    </row>
    <row r="9" spans="1:29" ht="15" customHeight="1" x14ac:dyDescent="0.25">
      <c r="A9" s="530"/>
      <c r="B9" s="239"/>
      <c r="C9" s="533"/>
      <c r="D9" s="536"/>
      <c r="E9" s="536"/>
      <c r="F9" s="536"/>
      <c r="G9" s="539"/>
      <c r="H9" s="237"/>
      <c r="I9" s="237"/>
      <c r="J9" s="237"/>
      <c r="K9" s="536"/>
      <c r="L9" s="544" t="s">
        <v>7</v>
      </c>
      <c r="M9" s="545"/>
      <c r="N9" s="544" t="s">
        <v>8</v>
      </c>
      <c r="O9" s="544" t="s">
        <v>9</v>
      </c>
      <c r="P9" s="545"/>
      <c r="Q9" s="544" t="s">
        <v>10</v>
      </c>
      <c r="R9" s="546" t="s">
        <v>5</v>
      </c>
      <c r="S9" s="161"/>
      <c r="T9" s="161"/>
      <c r="U9" s="24"/>
      <c r="V9" s="24"/>
      <c r="W9" s="24"/>
      <c r="X9" s="24"/>
      <c r="Y9" s="25"/>
      <c r="Z9" s="25"/>
      <c r="AA9" s="25"/>
      <c r="AB9" s="25"/>
      <c r="AC9" s="25"/>
    </row>
    <row r="10" spans="1:29" ht="51" customHeight="1" x14ac:dyDescent="0.25">
      <c r="A10" s="531"/>
      <c r="B10" s="240"/>
      <c r="C10" s="534"/>
      <c r="D10" s="537"/>
      <c r="E10" s="537"/>
      <c r="F10" s="537"/>
      <c r="G10" s="540"/>
      <c r="H10" s="237" t="s">
        <v>29</v>
      </c>
      <c r="I10" s="237" t="s">
        <v>30</v>
      </c>
      <c r="J10" s="237" t="s">
        <v>32</v>
      </c>
      <c r="K10" s="537"/>
      <c r="L10" s="237" t="s">
        <v>11</v>
      </c>
      <c r="M10" s="237" t="s">
        <v>12</v>
      </c>
      <c r="N10" s="545"/>
      <c r="O10" s="237" t="s">
        <v>11</v>
      </c>
      <c r="P10" s="237" t="s">
        <v>12</v>
      </c>
      <c r="Q10" s="544"/>
      <c r="R10" s="547"/>
      <c r="S10" s="161"/>
      <c r="T10" s="161"/>
      <c r="U10" s="24"/>
      <c r="V10" s="24"/>
      <c r="W10" s="24"/>
      <c r="X10" s="24"/>
      <c r="Y10" s="25"/>
      <c r="Z10" s="25"/>
      <c r="AA10" s="25"/>
      <c r="AB10" s="25"/>
      <c r="AC10" s="25"/>
    </row>
    <row r="11" spans="1:29" s="287" customFormat="1" ht="20.25" customHeight="1" x14ac:dyDescent="0.25">
      <c r="A11" s="31"/>
      <c r="B11" s="192"/>
      <c r="C11" s="32"/>
      <c r="D11" s="33" t="s">
        <v>67</v>
      </c>
      <c r="E11" s="34"/>
      <c r="F11" s="34"/>
      <c r="G11" s="321"/>
      <c r="H11" s="34"/>
      <c r="I11" s="34"/>
      <c r="J11" s="35"/>
      <c r="K11" s="34"/>
      <c r="L11" s="138"/>
      <c r="M11" s="139"/>
      <c r="N11" s="36"/>
      <c r="O11" s="34"/>
      <c r="P11" s="34"/>
      <c r="Q11" s="37"/>
      <c r="R11" s="162"/>
      <c r="S11" s="163"/>
      <c r="T11" s="163"/>
      <c r="U11" s="38"/>
      <c r="V11" s="38"/>
      <c r="W11" s="38"/>
      <c r="X11" s="38"/>
      <c r="Y11" s="39"/>
      <c r="Z11" s="39"/>
      <c r="AA11" s="39"/>
      <c r="AB11" s="39"/>
      <c r="AC11" s="39"/>
    </row>
    <row r="12" spans="1:29" s="288" customFormat="1" ht="17.25" customHeight="1" x14ac:dyDescent="0.25">
      <c r="A12" s="40"/>
      <c r="B12" s="193"/>
      <c r="C12" s="41"/>
      <c r="D12" s="42" t="s">
        <v>66</v>
      </c>
      <c r="E12" s="43"/>
      <c r="F12" s="43"/>
      <c r="G12" s="322"/>
      <c r="H12" s="43"/>
      <c r="I12" s="43"/>
      <c r="J12" s="44"/>
      <c r="K12" s="43"/>
      <c r="L12" s="140"/>
      <c r="M12" s="141"/>
      <c r="N12" s="45"/>
      <c r="O12" s="43"/>
      <c r="P12" s="43"/>
      <c r="Q12" s="46"/>
      <c r="R12" s="164"/>
      <c r="S12" s="165"/>
      <c r="T12" s="165"/>
      <c r="U12" s="47"/>
      <c r="V12" s="47"/>
      <c r="W12" s="47"/>
      <c r="X12" s="47"/>
      <c r="Y12" s="48"/>
      <c r="Z12" s="48"/>
      <c r="AA12" s="48"/>
      <c r="AB12" s="48"/>
      <c r="AC12" s="48"/>
    </row>
    <row r="13" spans="1:29" s="290" customFormat="1" ht="33.75" customHeight="1" x14ac:dyDescent="0.25">
      <c r="A13" s="49" t="s">
        <v>15</v>
      </c>
      <c r="B13" s="210"/>
      <c r="C13" s="195" t="s">
        <v>165</v>
      </c>
      <c r="D13" s="50" t="s">
        <v>162</v>
      </c>
      <c r="E13" s="51"/>
      <c r="F13" s="52"/>
      <c r="G13" s="53"/>
      <c r="H13" s="54"/>
      <c r="I13" s="54"/>
      <c r="J13" s="53"/>
      <c r="K13" s="14"/>
      <c r="L13" s="142"/>
      <c r="M13" s="143"/>
      <c r="N13" s="55"/>
      <c r="O13" s="56"/>
      <c r="P13" s="57"/>
      <c r="Q13" s="58"/>
      <c r="R13" s="166"/>
      <c r="S13" s="289"/>
      <c r="T13" s="289"/>
    </row>
    <row r="14" spans="1:29" s="103" customFormat="1" ht="33.75" customHeight="1" x14ac:dyDescent="0.25">
      <c r="A14" s="59" t="s">
        <v>16</v>
      </c>
      <c r="B14" s="211" t="s">
        <v>177</v>
      </c>
      <c r="C14" s="196" t="s">
        <v>165</v>
      </c>
      <c r="D14" s="60" t="s">
        <v>185</v>
      </c>
      <c r="E14" s="61" t="s">
        <v>17</v>
      </c>
      <c r="F14" s="62" t="s">
        <v>18</v>
      </c>
      <c r="G14" s="105">
        <v>1</v>
      </c>
      <c r="H14" s="64">
        <v>55.26</v>
      </c>
      <c r="I14" s="64"/>
      <c r="J14" s="63"/>
      <c r="K14" s="11">
        <f>ROUND(H14+I14+J14,2)</f>
        <v>55.26</v>
      </c>
      <c r="L14" s="144"/>
      <c r="M14" s="145"/>
      <c r="N14" s="65">
        <f>L14+M14</f>
        <v>0</v>
      </c>
      <c r="O14" s="66">
        <f>L14*K14</f>
        <v>0</v>
      </c>
      <c r="P14" s="67">
        <f>M14*K14</f>
        <v>0</v>
      </c>
      <c r="Q14" s="68">
        <f>O14+P14</f>
        <v>0</v>
      </c>
      <c r="R14" s="187" t="s">
        <v>122</v>
      </c>
      <c r="S14" s="291"/>
      <c r="T14" s="291"/>
    </row>
    <row r="15" spans="1:29" s="294" customFormat="1" ht="30" customHeight="1" x14ac:dyDescent="0.25">
      <c r="A15" s="59" t="s">
        <v>70</v>
      </c>
      <c r="B15" s="211" t="s">
        <v>178</v>
      </c>
      <c r="C15" s="197"/>
      <c r="D15" s="183" t="s">
        <v>121</v>
      </c>
      <c r="E15" s="74" t="s">
        <v>17</v>
      </c>
      <c r="F15" s="70" t="s">
        <v>18</v>
      </c>
      <c r="G15" s="71">
        <v>1.05</v>
      </c>
      <c r="H15" s="70">
        <f>ROUND(H14*G15,2)</f>
        <v>58.02</v>
      </c>
      <c r="I15" s="70"/>
      <c r="J15" s="71"/>
      <c r="K15" s="11">
        <f t="shared" ref="K15:K40" si="0">ROUND(H15+I15+J15,2)</f>
        <v>58.02</v>
      </c>
      <c r="L15" s="146"/>
      <c r="M15" s="147"/>
      <c r="N15" s="65">
        <f t="shared" ref="N15:N30" si="1">L15+M15</f>
        <v>0</v>
      </c>
      <c r="O15" s="66">
        <f t="shared" ref="O15:O30" si="2">L15*K15</f>
        <v>0</v>
      </c>
      <c r="P15" s="67">
        <f t="shared" ref="P15:P30" si="3">M15*K15</f>
        <v>0</v>
      </c>
      <c r="Q15" s="68">
        <f t="shared" ref="Q15:Q30" si="4">O15+P15</f>
        <v>0</v>
      </c>
      <c r="R15" s="292"/>
      <c r="S15" s="293"/>
      <c r="T15" s="293"/>
    </row>
    <row r="16" spans="1:29" s="294" customFormat="1" ht="30" customHeight="1" x14ac:dyDescent="0.25">
      <c r="A16" s="59" t="s">
        <v>71</v>
      </c>
      <c r="B16" s="211" t="s">
        <v>178</v>
      </c>
      <c r="C16" s="197"/>
      <c r="D16" s="95" t="s">
        <v>201</v>
      </c>
      <c r="E16" s="74" t="s">
        <v>17</v>
      </c>
      <c r="F16" s="70" t="s">
        <v>18</v>
      </c>
      <c r="G16" s="71">
        <v>0.22</v>
      </c>
      <c r="H16" s="70">
        <f>3.7*G16</f>
        <v>0.81400000000000006</v>
      </c>
      <c r="I16" s="70"/>
      <c r="J16" s="71"/>
      <c r="K16" s="11">
        <f t="shared" si="0"/>
        <v>0.81</v>
      </c>
      <c r="L16" s="179"/>
      <c r="M16" s="147"/>
      <c r="N16" s="65">
        <f t="shared" si="1"/>
        <v>0</v>
      </c>
      <c r="O16" s="66">
        <f t="shared" si="2"/>
        <v>0</v>
      </c>
      <c r="P16" s="67">
        <f t="shared" si="3"/>
        <v>0</v>
      </c>
      <c r="Q16" s="68">
        <f t="shared" si="4"/>
        <v>0</v>
      </c>
      <c r="R16" s="292"/>
      <c r="S16" s="293"/>
      <c r="T16" s="293"/>
    </row>
    <row r="17" spans="1:20" ht="23.25" customHeight="1" x14ac:dyDescent="0.25">
      <c r="A17" s="59" t="s">
        <v>72</v>
      </c>
      <c r="B17" s="211" t="s">
        <v>178</v>
      </c>
      <c r="C17" s="198"/>
      <c r="D17" s="95" t="s">
        <v>173</v>
      </c>
      <c r="E17" s="74" t="s">
        <v>17</v>
      </c>
      <c r="F17" s="100" t="s">
        <v>23</v>
      </c>
      <c r="G17" s="102">
        <v>30</v>
      </c>
      <c r="H17" s="74">
        <f>(H14-3.7)*G17</f>
        <v>1546.8</v>
      </c>
      <c r="I17" s="74"/>
      <c r="J17" s="102"/>
      <c r="K17" s="11">
        <f t="shared" si="0"/>
        <v>1546.8</v>
      </c>
      <c r="L17" s="148"/>
      <c r="M17" s="149"/>
      <c r="N17" s="65">
        <f t="shared" si="1"/>
        <v>0</v>
      </c>
      <c r="O17" s="66">
        <f t="shared" si="2"/>
        <v>0</v>
      </c>
      <c r="P17" s="67">
        <f t="shared" si="3"/>
        <v>0</v>
      </c>
      <c r="Q17" s="68">
        <f t="shared" si="4"/>
        <v>0</v>
      </c>
      <c r="R17" s="187" t="s">
        <v>174</v>
      </c>
    </row>
    <row r="18" spans="1:20" ht="28.5" customHeight="1" x14ac:dyDescent="0.25">
      <c r="A18" s="59" t="s">
        <v>192</v>
      </c>
      <c r="B18" s="211" t="s">
        <v>178</v>
      </c>
      <c r="C18" s="198"/>
      <c r="D18" s="95" t="s">
        <v>206</v>
      </c>
      <c r="E18" s="69" t="s">
        <v>17</v>
      </c>
      <c r="F18" s="72" t="s">
        <v>20</v>
      </c>
      <c r="G18" s="102">
        <v>1.1000000000000001</v>
      </c>
      <c r="H18" s="69">
        <f>78.94*G18</f>
        <v>86.834000000000003</v>
      </c>
      <c r="I18" s="69"/>
      <c r="J18" s="73"/>
      <c r="K18" s="11">
        <f t="shared" si="0"/>
        <v>86.83</v>
      </c>
      <c r="L18" s="148"/>
      <c r="M18" s="149"/>
      <c r="N18" s="65">
        <f t="shared" si="1"/>
        <v>0</v>
      </c>
      <c r="O18" s="66">
        <f t="shared" si="2"/>
        <v>0</v>
      </c>
      <c r="P18" s="67">
        <f t="shared" si="3"/>
        <v>0</v>
      </c>
      <c r="Q18" s="68">
        <f t="shared" si="4"/>
        <v>0</v>
      </c>
      <c r="R18" s="296"/>
    </row>
    <row r="19" spans="1:20" s="290" customFormat="1" ht="30" customHeight="1" x14ac:dyDescent="0.25">
      <c r="A19" s="49">
        <v>2</v>
      </c>
      <c r="B19" s="210"/>
      <c r="C19" s="199" t="s">
        <v>165</v>
      </c>
      <c r="D19" s="50" t="s">
        <v>163</v>
      </c>
      <c r="E19" s="51"/>
      <c r="F19" s="52"/>
      <c r="G19" s="53"/>
      <c r="H19" s="54"/>
      <c r="I19" s="54"/>
      <c r="J19" s="53"/>
      <c r="K19" s="14"/>
      <c r="L19" s="142"/>
      <c r="M19" s="143"/>
      <c r="N19" s="81">
        <f t="shared" si="1"/>
        <v>0</v>
      </c>
      <c r="O19" s="78">
        <f t="shared" si="2"/>
        <v>0</v>
      </c>
      <c r="P19" s="82">
        <f t="shared" si="3"/>
        <v>0</v>
      </c>
      <c r="Q19" s="58">
        <f t="shared" si="4"/>
        <v>0</v>
      </c>
      <c r="R19" s="180"/>
      <c r="S19" s="289"/>
      <c r="T19" s="289"/>
    </row>
    <row r="20" spans="1:20" s="103" customFormat="1" ht="40.5" customHeight="1" x14ac:dyDescent="0.25">
      <c r="A20" s="178" t="s">
        <v>45</v>
      </c>
      <c r="B20" s="211" t="s">
        <v>177</v>
      </c>
      <c r="C20" s="200" t="s">
        <v>165</v>
      </c>
      <c r="D20" s="60" t="s">
        <v>180</v>
      </c>
      <c r="E20" s="61" t="s">
        <v>17</v>
      </c>
      <c r="F20" s="62" t="s">
        <v>18</v>
      </c>
      <c r="G20" s="105">
        <v>1</v>
      </c>
      <c r="H20" s="64">
        <f>182-H14</f>
        <v>126.74000000000001</v>
      </c>
      <c r="I20" s="64"/>
      <c r="J20" s="63"/>
      <c r="K20" s="11">
        <f t="shared" si="0"/>
        <v>126.74</v>
      </c>
      <c r="L20" s="144"/>
      <c r="M20" s="145"/>
      <c r="N20" s="65">
        <f t="shared" si="1"/>
        <v>0</v>
      </c>
      <c r="O20" s="66">
        <f t="shared" si="2"/>
        <v>0</v>
      </c>
      <c r="P20" s="67">
        <f t="shared" si="3"/>
        <v>0</v>
      </c>
      <c r="Q20" s="68">
        <f t="shared" si="4"/>
        <v>0</v>
      </c>
      <c r="R20" s="167" t="s">
        <v>122</v>
      </c>
      <c r="S20" s="291"/>
      <c r="T20" s="291"/>
    </row>
    <row r="21" spans="1:20" s="294" customFormat="1" ht="30" customHeight="1" x14ac:dyDescent="0.25">
      <c r="A21" s="178" t="s">
        <v>28</v>
      </c>
      <c r="B21" s="211" t="s">
        <v>178</v>
      </c>
      <c r="C21" s="201"/>
      <c r="D21" s="183" t="s">
        <v>121</v>
      </c>
      <c r="E21" s="61" t="s">
        <v>17</v>
      </c>
      <c r="F21" s="70" t="s">
        <v>18</v>
      </c>
      <c r="G21" s="71">
        <v>1.05</v>
      </c>
      <c r="H21" s="70">
        <f>H20*G21</f>
        <v>133.07700000000003</v>
      </c>
      <c r="I21" s="70"/>
      <c r="J21" s="71"/>
      <c r="K21" s="11">
        <f t="shared" si="0"/>
        <v>133.08000000000001</v>
      </c>
      <c r="L21" s="146"/>
      <c r="M21" s="147"/>
      <c r="N21" s="65">
        <f t="shared" si="1"/>
        <v>0</v>
      </c>
      <c r="O21" s="66">
        <f t="shared" si="2"/>
        <v>0</v>
      </c>
      <c r="P21" s="67">
        <f t="shared" si="3"/>
        <v>0</v>
      </c>
      <c r="Q21" s="68">
        <f t="shared" si="4"/>
        <v>0</v>
      </c>
      <c r="R21" s="292"/>
      <c r="S21" s="293"/>
      <c r="T21" s="293"/>
    </row>
    <row r="22" spans="1:20" s="294" customFormat="1" ht="30" customHeight="1" x14ac:dyDescent="0.25">
      <c r="A22" s="178" t="s">
        <v>46</v>
      </c>
      <c r="B22" s="211" t="s">
        <v>178</v>
      </c>
      <c r="C22" s="201"/>
      <c r="D22" s="95" t="s">
        <v>201</v>
      </c>
      <c r="E22" s="61" t="s">
        <v>17</v>
      </c>
      <c r="F22" s="70" t="s">
        <v>18</v>
      </c>
      <c r="G22" s="71">
        <v>0.22</v>
      </c>
      <c r="H22" s="70">
        <f>10.9*G22</f>
        <v>2.3980000000000001</v>
      </c>
      <c r="I22" s="70"/>
      <c r="J22" s="71"/>
      <c r="K22" s="11">
        <f t="shared" si="0"/>
        <v>2.4</v>
      </c>
      <c r="L22" s="179"/>
      <c r="M22" s="147"/>
      <c r="N22" s="65">
        <f t="shared" si="1"/>
        <v>0</v>
      </c>
      <c r="O22" s="66">
        <f t="shared" si="2"/>
        <v>0</v>
      </c>
      <c r="P22" s="67">
        <f t="shared" si="3"/>
        <v>0</v>
      </c>
      <c r="Q22" s="68">
        <f t="shared" si="4"/>
        <v>0</v>
      </c>
      <c r="R22" s="292"/>
      <c r="S22" s="293"/>
      <c r="T22" s="293"/>
    </row>
    <row r="23" spans="1:20" ht="23.25" customHeight="1" x14ac:dyDescent="0.25">
      <c r="A23" s="178" t="s">
        <v>47</v>
      </c>
      <c r="B23" s="211" t="s">
        <v>178</v>
      </c>
      <c r="C23" s="202"/>
      <c r="D23" s="95" t="s">
        <v>173</v>
      </c>
      <c r="E23" s="61" t="s">
        <v>17</v>
      </c>
      <c r="F23" s="100" t="s">
        <v>23</v>
      </c>
      <c r="G23" s="102">
        <v>30</v>
      </c>
      <c r="H23" s="74">
        <f>(H20-10.9)*G23</f>
        <v>3475.2000000000003</v>
      </c>
      <c r="I23" s="74"/>
      <c r="J23" s="102"/>
      <c r="K23" s="11">
        <f t="shared" si="0"/>
        <v>3475.2</v>
      </c>
      <c r="L23" s="148"/>
      <c r="M23" s="149"/>
      <c r="N23" s="65">
        <f t="shared" si="1"/>
        <v>0</v>
      </c>
      <c r="O23" s="66">
        <f t="shared" si="2"/>
        <v>0</v>
      </c>
      <c r="P23" s="67">
        <f t="shared" si="3"/>
        <v>0</v>
      </c>
      <c r="Q23" s="68">
        <f t="shared" si="4"/>
        <v>0</v>
      </c>
      <c r="R23" s="187" t="s">
        <v>174</v>
      </c>
    </row>
    <row r="24" spans="1:20" ht="21" customHeight="1" x14ac:dyDescent="0.25">
      <c r="A24" s="178" t="s">
        <v>191</v>
      </c>
      <c r="B24" s="211" t="s">
        <v>178</v>
      </c>
      <c r="C24" s="202"/>
      <c r="D24" s="95" t="s">
        <v>206</v>
      </c>
      <c r="E24" s="61" t="s">
        <v>17</v>
      </c>
      <c r="F24" s="100" t="s">
        <v>20</v>
      </c>
      <c r="G24" s="102">
        <v>1.1000000000000001</v>
      </c>
      <c r="H24" s="74">
        <f>8.74*G24</f>
        <v>9.6140000000000008</v>
      </c>
      <c r="I24" s="74"/>
      <c r="J24" s="102"/>
      <c r="K24" s="11">
        <f t="shared" si="0"/>
        <v>9.61</v>
      </c>
      <c r="L24" s="148"/>
      <c r="M24" s="149"/>
      <c r="N24" s="65">
        <f t="shared" si="1"/>
        <v>0</v>
      </c>
      <c r="O24" s="66">
        <f t="shared" si="2"/>
        <v>0</v>
      </c>
      <c r="P24" s="67">
        <f t="shared" si="3"/>
        <v>0</v>
      </c>
      <c r="Q24" s="68">
        <f t="shared" si="4"/>
        <v>0</v>
      </c>
      <c r="R24" s="296"/>
    </row>
    <row r="25" spans="1:20" s="290" customFormat="1" ht="30" customHeight="1" x14ac:dyDescent="0.25">
      <c r="A25" s="49">
        <v>3</v>
      </c>
      <c r="B25" s="210"/>
      <c r="C25" s="199" t="s">
        <v>165</v>
      </c>
      <c r="D25" s="50" t="s">
        <v>68</v>
      </c>
      <c r="E25" s="51"/>
      <c r="F25" s="52"/>
      <c r="G25" s="53"/>
      <c r="H25" s="54"/>
      <c r="I25" s="54"/>
      <c r="J25" s="53"/>
      <c r="K25" s="14"/>
      <c r="L25" s="142"/>
      <c r="M25" s="143"/>
      <c r="N25" s="81"/>
      <c r="O25" s="78"/>
      <c r="P25" s="82"/>
      <c r="Q25" s="58"/>
      <c r="R25" s="297"/>
      <c r="S25" s="289"/>
      <c r="T25" s="289"/>
    </row>
    <row r="26" spans="1:20" s="103" customFormat="1" ht="30.75" customHeight="1" x14ac:dyDescent="0.25">
      <c r="A26" s="178" t="s">
        <v>63</v>
      </c>
      <c r="B26" s="211" t="s">
        <v>177</v>
      </c>
      <c r="C26" s="200" t="s">
        <v>165</v>
      </c>
      <c r="D26" s="60" t="s">
        <v>181</v>
      </c>
      <c r="E26" s="61" t="s">
        <v>17</v>
      </c>
      <c r="F26" s="62" t="s">
        <v>18</v>
      </c>
      <c r="G26" s="105">
        <v>1</v>
      </c>
      <c r="H26" s="64">
        <v>50.78</v>
      </c>
      <c r="I26" s="64"/>
      <c r="J26" s="63"/>
      <c r="K26" s="11">
        <f t="shared" si="0"/>
        <v>50.78</v>
      </c>
      <c r="L26" s="144"/>
      <c r="M26" s="145"/>
      <c r="N26" s="65">
        <f>L26+M26</f>
        <v>0</v>
      </c>
      <c r="O26" s="66">
        <f>L26*K26</f>
        <v>0</v>
      </c>
      <c r="P26" s="67">
        <f>M26*K26</f>
        <v>0</v>
      </c>
      <c r="Q26" s="68">
        <f>O26+P26</f>
        <v>0</v>
      </c>
      <c r="R26" s="167" t="s">
        <v>122</v>
      </c>
      <c r="S26" s="291"/>
      <c r="T26" s="291"/>
    </row>
    <row r="27" spans="1:20" s="294" customFormat="1" ht="30" customHeight="1" x14ac:dyDescent="0.25">
      <c r="A27" s="178" t="s">
        <v>64</v>
      </c>
      <c r="B27" s="211" t="s">
        <v>178</v>
      </c>
      <c r="C27" s="201"/>
      <c r="D27" s="183" t="s">
        <v>58</v>
      </c>
      <c r="E27" s="61" t="s">
        <v>17</v>
      </c>
      <c r="F27" s="70" t="s">
        <v>18</v>
      </c>
      <c r="G27" s="71">
        <v>1.05</v>
      </c>
      <c r="H27" s="70">
        <f>H26*G27</f>
        <v>53.319000000000003</v>
      </c>
      <c r="I27" s="70"/>
      <c r="J27" s="71"/>
      <c r="K27" s="11">
        <f t="shared" si="0"/>
        <v>53.32</v>
      </c>
      <c r="L27" s="146"/>
      <c r="M27" s="147"/>
      <c r="N27" s="65">
        <f t="shared" si="1"/>
        <v>0</v>
      </c>
      <c r="O27" s="66">
        <f t="shared" si="2"/>
        <v>0</v>
      </c>
      <c r="P27" s="67">
        <f t="shared" si="3"/>
        <v>0</v>
      </c>
      <c r="Q27" s="68">
        <f t="shared" si="4"/>
        <v>0</v>
      </c>
      <c r="R27" s="292"/>
      <c r="S27" s="293"/>
      <c r="T27" s="293"/>
    </row>
    <row r="28" spans="1:20" ht="24" x14ac:dyDescent="0.25">
      <c r="A28" s="178" t="s">
        <v>69</v>
      </c>
      <c r="B28" s="211" t="s">
        <v>178</v>
      </c>
      <c r="C28" s="202"/>
      <c r="D28" s="95" t="s">
        <v>201</v>
      </c>
      <c r="E28" s="61" t="s">
        <v>17</v>
      </c>
      <c r="F28" s="100" t="s">
        <v>18</v>
      </c>
      <c r="G28" s="102">
        <v>0.22</v>
      </c>
      <c r="H28" s="74">
        <f>6*G28</f>
        <v>1.32</v>
      </c>
      <c r="I28" s="74"/>
      <c r="J28" s="102"/>
      <c r="K28" s="11">
        <f t="shared" si="0"/>
        <v>1.32</v>
      </c>
      <c r="L28" s="148"/>
      <c r="M28" s="149"/>
      <c r="N28" s="65">
        <f t="shared" si="1"/>
        <v>0</v>
      </c>
      <c r="O28" s="66">
        <f t="shared" si="2"/>
        <v>0</v>
      </c>
      <c r="P28" s="67">
        <f t="shared" si="3"/>
        <v>0</v>
      </c>
      <c r="Q28" s="68">
        <f t="shared" si="4"/>
        <v>0</v>
      </c>
      <c r="R28" s="187" t="s">
        <v>174</v>
      </c>
    </row>
    <row r="29" spans="1:20" ht="19.5" customHeight="1" x14ac:dyDescent="0.25">
      <c r="A29" s="59" t="s">
        <v>73</v>
      </c>
      <c r="B29" s="211" t="s">
        <v>178</v>
      </c>
      <c r="C29" s="202"/>
      <c r="D29" s="95" t="s">
        <v>173</v>
      </c>
      <c r="E29" s="61" t="s">
        <v>17</v>
      </c>
      <c r="F29" s="100" t="s">
        <v>23</v>
      </c>
      <c r="G29" s="102">
        <v>30</v>
      </c>
      <c r="H29" s="74">
        <f>(H26-6)*G29</f>
        <v>1343.4</v>
      </c>
      <c r="I29" s="74"/>
      <c r="J29" s="102"/>
      <c r="K29" s="11">
        <f t="shared" si="0"/>
        <v>1343.4</v>
      </c>
      <c r="L29" s="177"/>
      <c r="M29" s="149"/>
      <c r="N29" s="65"/>
      <c r="O29" s="66"/>
      <c r="P29" s="67"/>
      <c r="Q29" s="68"/>
      <c r="R29" s="167"/>
    </row>
    <row r="30" spans="1:20" ht="34.5" customHeight="1" x14ac:dyDescent="0.25">
      <c r="A30" s="59" t="s">
        <v>172</v>
      </c>
      <c r="B30" s="211" t="s">
        <v>178</v>
      </c>
      <c r="C30" s="202"/>
      <c r="D30" s="95" t="s">
        <v>206</v>
      </c>
      <c r="E30" s="61" t="s">
        <v>17</v>
      </c>
      <c r="F30" s="100" t="s">
        <v>20</v>
      </c>
      <c r="G30" s="74">
        <v>1.1000000000000001</v>
      </c>
      <c r="H30" s="74">
        <f>156*0.2*6*G30</f>
        <v>205.92000000000004</v>
      </c>
      <c r="I30" s="74"/>
      <c r="J30" s="102"/>
      <c r="K30" s="11">
        <f t="shared" si="0"/>
        <v>205.92</v>
      </c>
      <c r="L30" s="148"/>
      <c r="M30" s="149"/>
      <c r="N30" s="65">
        <f t="shared" si="1"/>
        <v>0</v>
      </c>
      <c r="O30" s="66">
        <f t="shared" si="2"/>
        <v>0</v>
      </c>
      <c r="P30" s="67">
        <f t="shared" si="3"/>
        <v>0</v>
      </c>
      <c r="Q30" s="68">
        <f t="shared" si="4"/>
        <v>0</v>
      </c>
      <c r="R30" s="296"/>
    </row>
    <row r="31" spans="1:20" s="290" customFormat="1" ht="17.25" customHeight="1" x14ac:dyDescent="0.25">
      <c r="A31" s="49" t="s">
        <v>193</v>
      </c>
      <c r="B31" s="210"/>
      <c r="C31" s="199" t="s">
        <v>165</v>
      </c>
      <c r="D31" s="50" t="s">
        <v>51</v>
      </c>
      <c r="E31" s="75"/>
      <c r="F31" s="76"/>
      <c r="G31" s="77"/>
      <c r="H31" s="79"/>
      <c r="I31" s="80"/>
      <c r="J31" s="77"/>
      <c r="K31" s="15"/>
      <c r="L31" s="150"/>
      <c r="M31" s="151"/>
      <c r="N31" s="81"/>
      <c r="O31" s="78"/>
      <c r="P31" s="82"/>
      <c r="Q31" s="58"/>
      <c r="R31" s="297"/>
      <c r="S31" s="289"/>
      <c r="T31" s="289"/>
    </row>
    <row r="32" spans="1:20" s="243" customFormat="1" ht="36" x14ac:dyDescent="0.25">
      <c r="A32" s="59" t="s">
        <v>22</v>
      </c>
      <c r="B32" s="211" t="s">
        <v>177</v>
      </c>
      <c r="C32" s="200" t="s">
        <v>165</v>
      </c>
      <c r="D32" s="60" t="s">
        <v>184</v>
      </c>
      <c r="E32" s="61" t="s">
        <v>17</v>
      </c>
      <c r="F32" s="62" t="s">
        <v>20</v>
      </c>
      <c r="G32" s="105">
        <v>1</v>
      </c>
      <c r="H32" s="514">
        <v>64.34</v>
      </c>
      <c r="I32" s="515"/>
      <c r="J32" s="13"/>
      <c r="K32" s="11">
        <f t="shared" si="0"/>
        <v>64.34</v>
      </c>
      <c r="L32" s="227"/>
      <c r="M32" s="228"/>
      <c r="N32" s="229">
        <f t="shared" ref="N32:N41" si="5">L32+M32</f>
        <v>0</v>
      </c>
      <c r="O32" s="230">
        <f t="shared" ref="O32:O41" si="6">L32*K32</f>
        <v>0</v>
      </c>
      <c r="P32" s="231">
        <f t="shared" ref="P32:P41" si="7">M32*K32</f>
        <v>0</v>
      </c>
      <c r="Q32" s="232">
        <f t="shared" ref="Q32:Q41" si="8">O32+P32</f>
        <v>0</v>
      </c>
      <c r="R32" s="187" t="s">
        <v>122</v>
      </c>
      <c r="S32" s="306"/>
      <c r="T32" s="306"/>
    </row>
    <row r="33" spans="1:29" s="314" customFormat="1" x14ac:dyDescent="0.25">
      <c r="A33" s="59" t="s">
        <v>74</v>
      </c>
      <c r="B33" s="211" t="s">
        <v>178</v>
      </c>
      <c r="C33" s="217"/>
      <c r="D33" s="95" t="s">
        <v>190</v>
      </c>
      <c r="E33" s="61" t="s">
        <v>17</v>
      </c>
      <c r="F33" s="70" t="s">
        <v>19</v>
      </c>
      <c r="G33" s="184">
        <v>51</v>
      </c>
      <c r="H33" s="516">
        <f>ROUND(H32*G33,0)</f>
        <v>3281</v>
      </c>
      <c r="I33" s="517"/>
      <c r="J33" s="184"/>
      <c r="K33" s="11">
        <f t="shared" si="0"/>
        <v>3281</v>
      </c>
      <c r="L33" s="227"/>
      <c r="M33" s="228"/>
      <c r="N33" s="229">
        <f t="shared" si="5"/>
        <v>0</v>
      </c>
      <c r="O33" s="230">
        <f t="shared" si="6"/>
        <v>0</v>
      </c>
      <c r="P33" s="231">
        <f t="shared" si="7"/>
        <v>0</v>
      </c>
      <c r="Q33" s="232">
        <f t="shared" si="8"/>
        <v>0</v>
      </c>
      <c r="R33" s="312"/>
      <c r="S33" s="313"/>
      <c r="T33" s="313"/>
    </row>
    <row r="34" spans="1:29" s="243" customFormat="1" x14ac:dyDescent="0.25">
      <c r="A34" s="59" t="s">
        <v>75</v>
      </c>
      <c r="B34" s="211" t="s">
        <v>178</v>
      </c>
      <c r="C34" s="218"/>
      <c r="D34" s="95" t="s">
        <v>201</v>
      </c>
      <c r="E34" s="61" t="s">
        <v>17</v>
      </c>
      <c r="F34" s="100" t="s">
        <v>18</v>
      </c>
      <c r="G34" s="102">
        <v>0.02</v>
      </c>
      <c r="H34" s="516">
        <f>G34*H32</f>
        <v>1.2868000000000002</v>
      </c>
      <c r="I34" s="518"/>
      <c r="J34" s="185"/>
      <c r="K34" s="11">
        <f t="shared" si="0"/>
        <v>1.29</v>
      </c>
      <c r="L34" s="227"/>
      <c r="M34" s="228"/>
      <c r="N34" s="229">
        <f t="shared" si="5"/>
        <v>0</v>
      </c>
      <c r="O34" s="230">
        <f t="shared" si="6"/>
        <v>0</v>
      </c>
      <c r="P34" s="231">
        <f t="shared" si="7"/>
        <v>0</v>
      </c>
      <c r="Q34" s="232">
        <f t="shared" si="8"/>
        <v>0</v>
      </c>
      <c r="R34" s="187"/>
      <c r="S34" s="306"/>
      <c r="T34" s="306"/>
    </row>
    <row r="35" spans="1:29" s="243" customFormat="1" ht="18.75" customHeight="1" x14ac:dyDescent="0.25">
      <c r="A35" s="59" t="s">
        <v>187</v>
      </c>
      <c r="B35" s="211" t="s">
        <v>178</v>
      </c>
      <c r="C35" s="218"/>
      <c r="D35" s="95" t="s">
        <v>206</v>
      </c>
      <c r="E35" s="61" t="s">
        <v>17</v>
      </c>
      <c r="F35" s="100" t="s">
        <v>20</v>
      </c>
      <c r="G35" s="102">
        <v>1.1000000000000001</v>
      </c>
      <c r="H35" s="516">
        <f>44.65*G35</f>
        <v>49.115000000000002</v>
      </c>
      <c r="I35" s="518"/>
      <c r="J35" s="185"/>
      <c r="K35" s="11">
        <f t="shared" si="0"/>
        <v>49.12</v>
      </c>
      <c r="L35" s="227"/>
      <c r="M35" s="228"/>
      <c r="N35" s="229">
        <f t="shared" si="5"/>
        <v>0</v>
      </c>
      <c r="O35" s="230">
        <f t="shared" si="6"/>
        <v>0</v>
      </c>
      <c r="P35" s="231">
        <f t="shared" si="7"/>
        <v>0</v>
      </c>
      <c r="Q35" s="232">
        <f t="shared" si="8"/>
        <v>0</v>
      </c>
      <c r="R35" s="326"/>
      <c r="S35" s="306"/>
      <c r="T35" s="306"/>
    </row>
    <row r="36" spans="1:29" s="290" customFormat="1" ht="17.25" customHeight="1" x14ac:dyDescent="0.25">
      <c r="A36" s="49" t="s">
        <v>194</v>
      </c>
      <c r="B36" s="210"/>
      <c r="C36" s="199" t="s">
        <v>165</v>
      </c>
      <c r="D36" s="50" t="s">
        <v>301</v>
      </c>
      <c r="E36" s="75"/>
      <c r="F36" s="76"/>
      <c r="G36" s="77"/>
      <c r="H36" s="79"/>
      <c r="I36" s="80"/>
      <c r="J36" s="77"/>
      <c r="K36" s="15"/>
      <c r="L36" s="150"/>
      <c r="M36" s="151"/>
      <c r="N36" s="81"/>
      <c r="O36" s="78"/>
      <c r="P36" s="82"/>
      <c r="Q36" s="58"/>
      <c r="R36" s="297"/>
      <c r="S36" s="289"/>
      <c r="T36" s="289"/>
    </row>
    <row r="37" spans="1:29" s="243" customFormat="1" ht="36" x14ac:dyDescent="0.25">
      <c r="A37" s="59" t="s">
        <v>76</v>
      </c>
      <c r="B37" s="211" t="s">
        <v>177</v>
      </c>
      <c r="C37" s="200" t="s">
        <v>165</v>
      </c>
      <c r="D37" s="60" t="s">
        <v>302</v>
      </c>
      <c r="E37" s="61" t="s">
        <v>17</v>
      </c>
      <c r="F37" s="62" t="s">
        <v>20</v>
      </c>
      <c r="G37" s="105">
        <v>1</v>
      </c>
      <c r="H37" s="514">
        <f>138.46+24.8</f>
        <v>163.26000000000002</v>
      </c>
      <c r="I37" s="515"/>
      <c r="J37" s="13"/>
      <c r="K37" s="11">
        <f t="shared" si="0"/>
        <v>163.26</v>
      </c>
      <c r="L37" s="227"/>
      <c r="M37" s="228"/>
      <c r="N37" s="229">
        <f t="shared" ref="N37:N40" si="9">L37+M37</f>
        <v>0</v>
      </c>
      <c r="O37" s="230">
        <f t="shared" ref="O37:O40" si="10">L37*K37</f>
        <v>0</v>
      </c>
      <c r="P37" s="231">
        <f t="shared" ref="P37:P40" si="11">M37*K37</f>
        <v>0</v>
      </c>
      <c r="Q37" s="232">
        <f t="shared" ref="Q37:Q40" si="12">O37+P37</f>
        <v>0</v>
      </c>
      <c r="R37" s="187" t="s">
        <v>122</v>
      </c>
      <c r="S37" s="306"/>
      <c r="T37" s="306"/>
    </row>
    <row r="38" spans="1:29" s="314" customFormat="1" x14ac:dyDescent="0.25">
      <c r="A38" s="59" t="s">
        <v>77</v>
      </c>
      <c r="B38" s="211" t="s">
        <v>178</v>
      </c>
      <c r="C38" s="217"/>
      <c r="D38" s="95" t="s">
        <v>303</v>
      </c>
      <c r="E38" s="61" t="s">
        <v>17</v>
      </c>
      <c r="F38" s="70" t="s">
        <v>19</v>
      </c>
      <c r="G38" s="184">
        <v>33</v>
      </c>
      <c r="H38" s="516">
        <f>ROUND(H37*G38,0)</f>
        <v>5388</v>
      </c>
      <c r="I38" s="517"/>
      <c r="J38" s="184"/>
      <c r="K38" s="11">
        <f t="shared" si="0"/>
        <v>5388</v>
      </c>
      <c r="L38" s="227"/>
      <c r="M38" s="228"/>
      <c r="N38" s="229">
        <f t="shared" si="9"/>
        <v>0</v>
      </c>
      <c r="O38" s="230">
        <f t="shared" si="10"/>
        <v>0</v>
      </c>
      <c r="P38" s="231">
        <f t="shared" si="11"/>
        <v>0</v>
      </c>
      <c r="Q38" s="232">
        <f t="shared" si="12"/>
        <v>0</v>
      </c>
      <c r="R38" s="312"/>
      <c r="S38" s="313"/>
      <c r="T38" s="313"/>
    </row>
    <row r="39" spans="1:29" s="243" customFormat="1" x14ac:dyDescent="0.25">
      <c r="A39" s="59" t="s">
        <v>78</v>
      </c>
      <c r="B39" s="211" t="s">
        <v>178</v>
      </c>
      <c r="C39" s="218"/>
      <c r="D39" s="95" t="s">
        <v>201</v>
      </c>
      <c r="E39" s="61" t="s">
        <v>17</v>
      </c>
      <c r="F39" s="100" t="s">
        <v>18</v>
      </c>
      <c r="G39" s="102">
        <v>0.02</v>
      </c>
      <c r="H39" s="516">
        <f>G39*H37</f>
        <v>3.2652000000000005</v>
      </c>
      <c r="I39" s="518"/>
      <c r="J39" s="185"/>
      <c r="K39" s="11">
        <f t="shared" si="0"/>
        <v>3.27</v>
      </c>
      <c r="L39" s="227"/>
      <c r="M39" s="228"/>
      <c r="N39" s="229">
        <f t="shared" si="9"/>
        <v>0</v>
      </c>
      <c r="O39" s="230">
        <f t="shared" si="10"/>
        <v>0</v>
      </c>
      <c r="P39" s="231">
        <f t="shared" si="11"/>
        <v>0</v>
      </c>
      <c r="Q39" s="232">
        <f t="shared" si="12"/>
        <v>0</v>
      </c>
      <c r="R39" s="187"/>
      <c r="S39" s="306"/>
      <c r="T39" s="306"/>
    </row>
    <row r="40" spans="1:29" s="243" customFormat="1" ht="29.25" customHeight="1" x14ac:dyDescent="0.25">
      <c r="A40" s="59" t="s">
        <v>79</v>
      </c>
      <c r="B40" s="211" t="s">
        <v>178</v>
      </c>
      <c r="C40" s="218"/>
      <c r="D40" s="95" t="s">
        <v>206</v>
      </c>
      <c r="E40" s="61" t="s">
        <v>17</v>
      </c>
      <c r="F40" s="100" t="s">
        <v>20</v>
      </c>
      <c r="G40" s="102">
        <v>1.1000000000000001</v>
      </c>
      <c r="H40" s="516">
        <f>44.05*G40</f>
        <v>48.454999999999998</v>
      </c>
      <c r="I40" s="518"/>
      <c r="J40" s="185"/>
      <c r="K40" s="11">
        <f t="shared" si="0"/>
        <v>48.46</v>
      </c>
      <c r="L40" s="227"/>
      <c r="M40" s="228"/>
      <c r="N40" s="229">
        <f t="shared" si="9"/>
        <v>0</v>
      </c>
      <c r="O40" s="230">
        <f t="shared" si="10"/>
        <v>0</v>
      </c>
      <c r="P40" s="231">
        <f t="shared" si="11"/>
        <v>0</v>
      </c>
      <c r="Q40" s="232">
        <f t="shared" si="12"/>
        <v>0</v>
      </c>
      <c r="R40" s="326"/>
      <c r="S40" s="306"/>
      <c r="T40" s="306"/>
    </row>
    <row r="41" spans="1:29" s="287" customFormat="1" ht="18.75" customHeight="1" x14ac:dyDescent="0.25">
      <c r="A41" s="31"/>
      <c r="B41" s="212"/>
      <c r="C41" s="203"/>
      <c r="D41" s="33" t="s">
        <v>32</v>
      </c>
      <c r="E41" s="104"/>
      <c r="F41" s="104"/>
      <c r="G41" s="321"/>
      <c r="H41" s="34"/>
      <c r="I41" s="34"/>
      <c r="J41" s="35"/>
      <c r="K41" s="34"/>
      <c r="L41" s="138"/>
      <c r="M41" s="139"/>
      <c r="N41" s="90">
        <f t="shared" si="5"/>
        <v>0</v>
      </c>
      <c r="O41" s="89">
        <f t="shared" si="6"/>
        <v>0</v>
      </c>
      <c r="P41" s="91">
        <f t="shared" si="7"/>
        <v>0</v>
      </c>
      <c r="Q41" s="92">
        <f t="shared" si="8"/>
        <v>0</v>
      </c>
      <c r="R41" s="162"/>
      <c r="S41" s="163"/>
      <c r="T41" s="163"/>
      <c r="U41" s="38"/>
      <c r="V41" s="38"/>
      <c r="W41" s="38"/>
      <c r="X41" s="38"/>
      <c r="Y41" s="39"/>
      <c r="Z41" s="39"/>
      <c r="AA41" s="39"/>
      <c r="AB41" s="39"/>
      <c r="AC41" s="39"/>
    </row>
    <row r="42" spans="1:29" s="290" customFormat="1" ht="22.5" customHeight="1" x14ac:dyDescent="0.25">
      <c r="A42" s="49" t="s">
        <v>80</v>
      </c>
      <c r="B42" s="210"/>
      <c r="C42" s="199" t="s">
        <v>165</v>
      </c>
      <c r="D42" s="50" t="s">
        <v>48</v>
      </c>
      <c r="E42" s="51"/>
      <c r="F42" s="52"/>
      <c r="G42" s="53"/>
      <c r="H42" s="54"/>
      <c r="I42" s="54"/>
      <c r="J42" s="53"/>
      <c r="K42" s="14"/>
      <c r="L42" s="142"/>
      <c r="M42" s="143"/>
      <c r="N42" s="81"/>
      <c r="O42" s="78"/>
      <c r="P42" s="82"/>
      <c r="Q42" s="58"/>
      <c r="R42" s="297"/>
      <c r="S42" s="289"/>
      <c r="T42" s="289"/>
    </row>
    <row r="43" spans="1:29" s="103" customFormat="1" ht="43.5" customHeight="1" x14ac:dyDescent="0.25">
      <c r="A43" s="59" t="s">
        <v>81</v>
      </c>
      <c r="B43" s="211" t="s">
        <v>177</v>
      </c>
      <c r="C43" s="200" t="s">
        <v>165</v>
      </c>
      <c r="D43" s="60" t="s">
        <v>182</v>
      </c>
      <c r="E43" s="61" t="s">
        <v>17</v>
      </c>
      <c r="F43" s="62" t="s">
        <v>18</v>
      </c>
      <c r="G43" s="105">
        <v>1</v>
      </c>
      <c r="H43" s="64"/>
      <c r="I43" s="64"/>
      <c r="J43" s="63">
        <v>17.940000000000001</v>
      </c>
      <c r="K43" s="11">
        <f t="shared" ref="K43:K83" si="13">ROUND(H43+I43+J43,2)</f>
        <v>17.940000000000001</v>
      </c>
      <c r="L43" s="144"/>
      <c r="M43" s="145"/>
      <c r="N43" s="65">
        <f t="shared" ref="N43:N60" si="14">L43+M43</f>
        <v>0</v>
      </c>
      <c r="O43" s="66">
        <f t="shared" ref="O43:O60" si="15">L43*K43</f>
        <v>0</v>
      </c>
      <c r="P43" s="67">
        <f t="shared" ref="P43:P58" si="16">M43*K43</f>
        <v>0</v>
      </c>
      <c r="Q43" s="68">
        <f t="shared" ref="Q43:Q91" si="17">O43+P43</f>
        <v>0</v>
      </c>
      <c r="R43" s="167" t="s">
        <v>122</v>
      </c>
      <c r="S43" s="291"/>
      <c r="T43" s="291"/>
    </row>
    <row r="44" spans="1:29" s="294" customFormat="1" ht="36" customHeight="1" x14ac:dyDescent="0.25">
      <c r="A44" s="59" t="s">
        <v>82</v>
      </c>
      <c r="B44" s="211" t="s">
        <v>178</v>
      </c>
      <c r="C44" s="201"/>
      <c r="D44" s="183" t="s">
        <v>121</v>
      </c>
      <c r="E44" s="74" t="s">
        <v>17</v>
      </c>
      <c r="F44" s="70" t="s">
        <v>18</v>
      </c>
      <c r="G44" s="71">
        <v>1.05</v>
      </c>
      <c r="H44" s="70"/>
      <c r="I44" s="70"/>
      <c r="J44" s="71">
        <f>ROUND(J43*G44,2)</f>
        <v>18.84</v>
      </c>
      <c r="K44" s="11">
        <f t="shared" si="13"/>
        <v>18.84</v>
      </c>
      <c r="L44" s="146"/>
      <c r="M44" s="147"/>
      <c r="N44" s="65">
        <f t="shared" si="14"/>
        <v>0</v>
      </c>
      <c r="O44" s="66">
        <f t="shared" si="15"/>
        <v>0</v>
      </c>
      <c r="P44" s="67">
        <f t="shared" si="16"/>
        <v>0</v>
      </c>
      <c r="Q44" s="68">
        <f t="shared" si="17"/>
        <v>0</v>
      </c>
      <c r="R44" s="292"/>
      <c r="S44" s="293"/>
      <c r="T44" s="293"/>
    </row>
    <row r="45" spans="1:29" x14ac:dyDescent="0.25">
      <c r="A45" s="59" t="s">
        <v>83</v>
      </c>
      <c r="B45" s="211" t="s">
        <v>178</v>
      </c>
      <c r="C45" s="202"/>
      <c r="D45" s="95" t="s">
        <v>201</v>
      </c>
      <c r="E45" s="74" t="s">
        <v>17</v>
      </c>
      <c r="F45" s="100" t="s">
        <v>18</v>
      </c>
      <c r="G45" s="102">
        <v>0.22</v>
      </c>
      <c r="H45" s="70"/>
      <c r="I45" s="74"/>
      <c r="J45" s="102">
        <f>3.65*G45</f>
        <v>0.80299999999999994</v>
      </c>
      <c r="K45" s="11">
        <f t="shared" si="13"/>
        <v>0.8</v>
      </c>
      <c r="L45" s="148"/>
      <c r="M45" s="149"/>
      <c r="N45" s="65">
        <f t="shared" si="14"/>
        <v>0</v>
      </c>
      <c r="O45" s="66">
        <f t="shared" si="15"/>
        <v>0</v>
      </c>
      <c r="P45" s="67">
        <f t="shared" si="16"/>
        <v>0</v>
      </c>
      <c r="Q45" s="68">
        <f t="shared" si="17"/>
        <v>0</v>
      </c>
      <c r="R45" s="167"/>
    </row>
    <row r="46" spans="1:29" ht="20.25" customHeight="1" x14ac:dyDescent="0.25">
      <c r="A46" s="59" t="s">
        <v>84</v>
      </c>
      <c r="B46" s="211" t="s">
        <v>178</v>
      </c>
      <c r="C46" s="202"/>
      <c r="D46" s="95" t="s">
        <v>173</v>
      </c>
      <c r="E46" s="74" t="s">
        <v>17</v>
      </c>
      <c r="F46" s="100" t="s">
        <v>23</v>
      </c>
      <c r="G46" s="102">
        <v>30</v>
      </c>
      <c r="H46" s="70"/>
      <c r="I46" s="74"/>
      <c r="J46" s="102">
        <f>(17.91-3.6)*G46</f>
        <v>429.3</v>
      </c>
      <c r="K46" s="11">
        <f t="shared" si="13"/>
        <v>429.3</v>
      </c>
      <c r="L46" s="177"/>
      <c r="M46" s="149"/>
      <c r="N46" s="65">
        <f t="shared" si="14"/>
        <v>0</v>
      </c>
      <c r="O46" s="66">
        <f t="shared" si="15"/>
        <v>0</v>
      </c>
      <c r="P46" s="67">
        <f t="shared" si="16"/>
        <v>0</v>
      </c>
      <c r="Q46" s="68">
        <f t="shared" si="17"/>
        <v>0</v>
      </c>
      <c r="R46" s="167"/>
    </row>
    <row r="47" spans="1:29" ht="25.5" customHeight="1" x14ac:dyDescent="0.25">
      <c r="A47" s="59" t="s">
        <v>329</v>
      </c>
      <c r="B47" s="211" t="s">
        <v>178</v>
      </c>
      <c r="C47" s="202"/>
      <c r="D47" s="95" t="s">
        <v>206</v>
      </c>
      <c r="E47" s="69" t="s">
        <v>17</v>
      </c>
      <c r="F47" s="72" t="s">
        <v>20</v>
      </c>
      <c r="G47" s="73">
        <v>1.1000000000000001</v>
      </c>
      <c r="H47" s="70"/>
      <c r="I47" s="69"/>
      <c r="J47" s="73">
        <f>70.7*G47</f>
        <v>77.77000000000001</v>
      </c>
      <c r="K47" s="11">
        <f t="shared" si="13"/>
        <v>77.77</v>
      </c>
      <c r="L47" s="148"/>
      <c r="M47" s="149"/>
      <c r="N47" s="65">
        <f t="shared" si="14"/>
        <v>0</v>
      </c>
      <c r="O47" s="66">
        <f t="shared" si="15"/>
        <v>0</v>
      </c>
      <c r="P47" s="67">
        <f t="shared" si="16"/>
        <v>0</v>
      </c>
      <c r="Q47" s="68">
        <f t="shared" si="17"/>
        <v>0</v>
      </c>
      <c r="R47" s="298"/>
    </row>
    <row r="48" spans="1:29" s="290" customFormat="1" ht="27" customHeight="1" x14ac:dyDescent="0.25">
      <c r="A48" s="49" t="s">
        <v>85</v>
      </c>
      <c r="B48" s="210"/>
      <c r="C48" s="199" t="s">
        <v>165</v>
      </c>
      <c r="D48" s="50" t="s">
        <v>51</v>
      </c>
      <c r="E48" s="75"/>
      <c r="F48" s="76"/>
      <c r="G48" s="77"/>
      <c r="H48" s="79"/>
      <c r="I48" s="80"/>
      <c r="J48" s="77"/>
      <c r="K48" s="15"/>
      <c r="L48" s="150"/>
      <c r="M48" s="151"/>
      <c r="N48" s="81"/>
      <c r="O48" s="78"/>
      <c r="P48" s="82"/>
      <c r="Q48" s="58"/>
      <c r="R48" s="297"/>
      <c r="S48" s="289"/>
      <c r="T48" s="289"/>
    </row>
    <row r="49" spans="1:20" s="103" customFormat="1" ht="36" x14ac:dyDescent="0.25">
      <c r="A49" s="59" t="s">
        <v>86</v>
      </c>
      <c r="B49" s="211" t="s">
        <v>177</v>
      </c>
      <c r="C49" s="200" t="s">
        <v>165</v>
      </c>
      <c r="D49" s="60" t="s">
        <v>184</v>
      </c>
      <c r="E49" s="61" t="s">
        <v>17</v>
      </c>
      <c r="F49" s="251" t="s">
        <v>20</v>
      </c>
      <c r="G49" s="256">
        <v>1</v>
      </c>
      <c r="H49" s="247"/>
      <c r="I49" s="264"/>
      <c r="J49" s="247">
        <v>271.70999999999998</v>
      </c>
      <c r="K49" s="11">
        <f t="shared" si="13"/>
        <v>271.70999999999998</v>
      </c>
      <c r="L49" s="265"/>
      <c r="M49" s="153"/>
      <c r="N49" s="65">
        <f t="shared" si="14"/>
        <v>0</v>
      </c>
      <c r="O49" s="66">
        <f t="shared" si="15"/>
        <v>0</v>
      </c>
      <c r="P49" s="67">
        <f t="shared" si="16"/>
        <v>0</v>
      </c>
      <c r="Q49" s="68">
        <f t="shared" si="17"/>
        <v>0</v>
      </c>
      <c r="R49" s="166" t="s">
        <v>122</v>
      </c>
      <c r="S49" s="291"/>
      <c r="T49" s="291"/>
    </row>
    <row r="50" spans="1:20" s="294" customFormat="1" ht="18.75" customHeight="1" x14ac:dyDescent="0.25">
      <c r="A50" s="59" t="s">
        <v>87</v>
      </c>
      <c r="B50" s="211" t="s">
        <v>178</v>
      </c>
      <c r="C50" s="217"/>
      <c r="D50" s="95" t="s">
        <v>190</v>
      </c>
      <c r="E50" s="61" t="s">
        <v>17</v>
      </c>
      <c r="F50" s="266" t="s">
        <v>19</v>
      </c>
      <c r="G50" s="267">
        <v>51</v>
      </c>
      <c r="H50" s="266"/>
      <c r="I50" s="267"/>
      <c r="J50" s="266">
        <f>ROUND(J49*G50,0)</f>
        <v>13857</v>
      </c>
      <c r="K50" s="11">
        <f t="shared" si="13"/>
        <v>13857</v>
      </c>
      <c r="L50" s="268"/>
      <c r="M50" s="149"/>
      <c r="N50" s="65">
        <f t="shared" si="14"/>
        <v>0</v>
      </c>
      <c r="O50" s="66">
        <f t="shared" si="15"/>
        <v>0</v>
      </c>
      <c r="P50" s="67">
        <f t="shared" si="16"/>
        <v>0</v>
      </c>
      <c r="Q50" s="68">
        <f t="shared" si="17"/>
        <v>0</v>
      </c>
      <c r="R50" s="299"/>
      <c r="S50" s="293"/>
      <c r="T50" s="293"/>
    </row>
    <row r="51" spans="1:20" x14ac:dyDescent="0.25">
      <c r="A51" s="59" t="s">
        <v>88</v>
      </c>
      <c r="B51" s="211" t="s">
        <v>178</v>
      </c>
      <c r="C51" s="218"/>
      <c r="D51" s="95" t="s">
        <v>201</v>
      </c>
      <c r="E51" s="61" t="s">
        <v>17</v>
      </c>
      <c r="F51" s="245" t="s">
        <v>18</v>
      </c>
      <c r="G51" s="246">
        <v>0.02</v>
      </c>
      <c r="H51" s="266"/>
      <c r="I51" s="245"/>
      <c r="J51" s="266">
        <f>G51*J49</f>
        <v>5.4341999999999997</v>
      </c>
      <c r="K51" s="11">
        <f t="shared" si="13"/>
        <v>5.43</v>
      </c>
      <c r="L51" s="268"/>
      <c r="M51" s="149"/>
      <c r="N51" s="65">
        <f t="shared" si="14"/>
        <v>0</v>
      </c>
      <c r="O51" s="66">
        <f t="shared" si="15"/>
        <v>0</v>
      </c>
      <c r="P51" s="67">
        <f t="shared" si="16"/>
        <v>0</v>
      </c>
      <c r="Q51" s="68">
        <f t="shared" si="17"/>
        <v>0</v>
      </c>
      <c r="R51" s="167"/>
    </row>
    <row r="52" spans="1:20" ht="20.25" customHeight="1" x14ac:dyDescent="0.25">
      <c r="A52" s="59" t="s">
        <v>89</v>
      </c>
      <c r="B52" s="211" t="s">
        <v>178</v>
      </c>
      <c r="C52" s="218"/>
      <c r="D52" s="95" t="s">
        <v>206</v>
      </c>
      <c r="E52" s="61" t="s">
        <v>17</v>
      </c>
      <c r="F52" s="269" t="s">
        <v>20</v>
      </c>
      <c r="G52" s="270">
        <v>1.1000000000000001</v>
      </c>
      <c r="H52" s="266"/>
      <c r="I52" s="269"/>
      <c r="J52" s="266">
        <f>8.09*16*G52</f>
        <v>142.38400000000001</v>
      </c>
      <c r="K52" s="11">
        <f t="shared" si="13"/>
        <v>142.38</v>
      </c>
      <c r="L52" s="268"/>
      <c r="M52" s="149"/>
      <c r="N52" s="65">
        <f t="shared" si="14"/>
        <v>0</v>
      </c>
      <c r="O52" s="66">
        <f t="shared" si="15"/>
        <v>0</v>
      </c>
      <c r="P52" s="67">
        <f t="shared" si="16"/>
        <v>0</v>
      </c>
      <c r="Q52" s="68">
        <f t="shared" si="17"/>
        <v>0</v>
      </c>
      <c r="R52" s="298"/>
    </row>
    <row r="53" spans="1:20" s="287" customFormat="1" ht="20.25" customHeight="1" x14ac:dyDescent="0.25">
      <c r="A53" s="83"/>
      <c r="B53" s="213"/>
      <c r="C53" s="204"/>
      <c r="D53" s="84" t="s">
        <v>62</v>
      </c>
      <c r="E53" s="85"/>
      <c r="F53" s="86"/>
      <c r="G53" s="323"/>
      <c r="H53" s="88"/>
      <c r="I53" s="88"/>
      <c r="J53" s="87"/>
      <c r="K53" s="16"/>
      <c r="L53" s="154"/>
      <c r="M53" s="155"/>
      <c r="N53" s="90"/>
      <c r="O53" s="89"/>
      <c r="P53" s="91"/>
      <c r="Q53" s="92"/>
      <c r="R53" s="300"/>
      <c r="S53" s="301"/>
      <c r="T53" s="301"/>
    </row>
    <row r="54" spans="1:20" s="304" customFormat="1" ht="20.25" customHeight="1" x14ac:dyDescent="0.2">
      <c r="A54" s="49" t="s">
        <v>90</v>
      </c>
      <c r="B54" s="210" t="s">
        <v>177</v>
      </c>
      <c r="C54" s="205"/>
      <c r="D54" s="98" t="s">
        <v>171</v>
      </c>
      <c r="E54" s="219" t="s">
        <v>17</v>
      </c>
      <c r="F54" s="220" t="s">
        <v>19</v>
      </c>
      <c r="G54" s="53">
        <v>1</v>
      </c>
      <c r="H54" s="94">
        <v>16</v>
      </c>
      <c r="I54" s="94"/>
      <c r="J54" s="93"/>
      <c r="K54" s="11">
        <f t="shared" si="13"/>
        <v>16</v>
      </c>
      <c r="L54" s="157"/>
      <c r="M54" s="158"/>
      <c r="N54" s="81">
        <f t="shared" si="14"/>
        <v>0</v>
      </c>
      <c r="O54" s="99">
        <f t="shared" si="15"/>
        <v>0</v>
      </c>
      <c r="P54" s="82">
        <f t="shared" si="16"/>
        <v>0</v>
      </c>
      <c r="Q54" s="58">
        <f t="shared" si="17"/>
        <v>0</v>
      </c>
      <c r="R54" s="302"/>
      <c r="S54" s="303"/>
      <c r="T54" s="303"/>
    </row>
    <row r="55" spans="1:20" ht="20.25" customHeight="1" x14ac:dyDescent="0.25">
      <c r="A55" s="59" t="s">
        <v>91</v>
      </c>
      <c r="B55" s="211" t="s">
        <v>178</v>
      </c>
      <c r="C55" s="206" t="s">
        <v>54</v>
      </c>
      <c r="D55" s="95" t="s">
        <v>59</v>
      </c>
      <c r="E55" s="61" t="s">
        <v>17</v>
      </c>
      <c r="F55" s="62" t="s">
        <v>21</v>
      </c>
      <c r="G55" s="105">
        <v>1.04</v>
      </c>
      <c r="H55" s="64">
        <f>14*1.5*6.89/1000*G55</f>
        <v>0.15047759999999999</v>
      </c>
      <c r="I55" s="64"/>
      <c r="J55" s="63"/>
      <c r="K55" s="11">
        <f t="shared" si="13"/>
        <v>0.15</v>
      </c>
      <c r="L55" s="148"/>
      <c r="M55" s="149"/>
      <c r="N55" s="65">
        <f t="shared" si="14"/>
        <v>0</v>
      </c>
      <c r="O55" s="66">
        <f t="shared" si="15"/>
        <v>0</v>
      </c>
      <c r="P55" s="67">
        <f t="shared" si="16"/>
        <v>0</v>
      </c>
      <c r="Q55" s="68">
        <f t="shared" si="17"/>
        <v>0</v>
      </c>
      <c r="R55" s="298"/>
    </row>
    <row r="56" spans="1:20" ht="20.25" customHeight="1" x14ac:dyDescent="0.25">
      <c r="A56" s="59" t="s">
        <v>92</v>
      </c>
      <c r="B56" s="211" t="s">
        <v>178</v>
      </c>
      <c r="C56" s="206" t="s">
        <v>54</v>
      </c>
      <c r="D56" s="95" t="s">
        <v>34</v>
      </c>
      <c r="E56" s="61" t="s">
        <v>17</v>
      </c>
      <c r="F56" s="62" t="s">
        <v>21</v>
      </c>
      <c r="G56" s="105">
        <v>1.04</v>
      </c>
      <c r="H56" s="64">
        <f>21*0.471/1000*G56</f>
        <v>1.0286640000000001E-2</v>
      </c>
      <c r="I56" s="64"/>
      <c r="J56" s="63"/>
      <c r="K56" s="11">
        <f t="shared" si="13"/>
        <v>0.01</v>
      </c>
      <c r="L56" s="148"/>
      <c r="M56" s="149"/>
      <c r="N56" s="65">
        <f t="shared" si="14"/>
        <v>0</v>
      </c>
      <c r="O56" s="66">
        <f t="shared" si="15"/>
        <v>0</v>
      </c>
      <c r="P56" s="67">
        <f t="shared" si="16"/>
        <v>0</v>
      </c>
      <c r="Q56" s="68">
        <f t="shared" si="17"/>
        <v>0</v>
      </c>
      <c r="R56" s="298"/>
    </row>
    <row r="57" spans="1:20" s="103" customFormat="1" ht="20.25" customHeight="1" x14ac:dyDescent="0.25">
      <c r="A57" s="59" t="s">
        <v>93</v>
      </c>
      <c r="B57" s="211" t="s">
        <v>178</v>
      </c>
      <c r="C57" s="206"/>
      <c r="D57" s="95" t="s">
        <v>201</v>
      </c>
      <c r="E57" s="61" t="s">
        <v>17</v>
      </c>
      <c r="F57" s="62" t="s">
        <v>18</v>
      </c>
      <c r="G57" s="105">
        <v>1</v>
      </c>
      <c r="H57" s="96">
        <f>0.025*1.4*0.2+0.025*1.2*0.12+0.025*1*0.2+0.025*0.2*1.11*2+1.6*0.025*0.2+0.025*0.2*0.8*3*G57</f>
        <v>4.6700000000000005E-2</v>
      </c>
      <c r="I57" s="64"/>
      <c r="J57" s="63"/>
      <c r="K57" s="11">
        <f t="shared" si="13"/>
        <v>0.05</v>
      </c>
      <c r="L57" s="148"/>
      <c r="M57" s="156"/>
      <c r="N57" s="65">
        <f t="shared" si="14"/>
        <v>0</v>
      </c>
      <c r="O57" s="66">
        <f t="shared" si="15"/>
        <v>0</v>
      </c>
      <c r="P57" s="67">
        <f t="shared" si="16"/>
        <v>0</v>
      </c>
      <c r="Q57" s="68">
        <f t="shared" si="17"/>
        <v>0</v>
      </c>
      <c r="R57" s="296"/>
      <c r="S57" s="291"/>
      <c r="T57" s="291"/>
    </row>
    <row r="58" spans="1:20" s="103" customFormat="1" ht="20.25" customHeight="1" x14ac:dyDescent="0.25">
      <c r="A58" s="59" t="s">
        <v>94</v>
      </c>
      <c r="B58" s="211" t="s">
        <v>178</v>
      </c>
      <c r="C58" s="206"/>
      <c r="D58" s="95" t="s">
        <v>65</v>
      </c>
      <c r="E58" s="61" t="s">
        <v>17</v>
      </c>
      <c r="F58" s="62" t="s">
        <v>21</v>
      </c>
      <c r="G58" s="105">
        <v>1.04</v>
      </c>
      <c r="H58" s="96">
        <f>(5*1.4*0.888+1.2*3*0.888+1*5*0.888+1.11*10*0.888+1.6*5*0.888+0.8*15*0.888)/1000*G58</f>
        <v>4.3128384000000006E-2</v>
      </c>
      <c r="I58" s="96"/>
      <c r="J58" s="97"/>
      <c r="K58" s="11">
        <f t="shared" si="13"/>
        <v>0.04</v>
      </c>
      <c r="L58" s="148"/>
      <c r="M58" s="156"/>
      <c r="N58" s="65">
        <f t="shared" si="14"/>
        <v>0</v>
      </c>
      <c r="O58" s="66">
        <f t="shared" si="15"/>
        <v>0</v>
      </c>
      <c r="P58" s="67">
        <f t="shared" si="16"/>
        <v>0</v>
      </c>
      <c r="Q58" s="68">
        <f t="shared" si="17"/>
        <v>0</v>
      </c>
      <c r="R58" s="296"/>
      <c r="S58" s="291"/>
      <c r="T58" s="291"/>
    </row>
    <row r="59" spans="1:20" s="304" customFormat="1" ht="28.5" customHeight="1" x14ac:dyDescent="0.2">
      <c r="A59" s="49" t="s">
        <v>95</v>
      </c>
      <c r="B59" s="210" t="s">
        <v>177</v>
      </c>
      <c r="C59" s="205"/>
      <c r="D59" s="98" t="s">
        <v>164</v>
      </c>
      <c r="E59" s="51" t="s">
        <v>17</v>
      </c>
      <c r="F59" s="52" t="s">
        <v>19</v>
      </c>
      <c r="G59" s="53">
        <v>1</v>
      </c>
      <c r="H59" s="94">
        <f>60+25</f>
        <v>85</v>
      </c>
      <c r="I59" s="94"/>
      <c r="J59" s="93"/>
      <c r="K59" s="11">
        <f t="shared" si="13"/>
        <v>85</v>
      </c>
      <c r="L59" s="157"/>
      <c r="M59" s="158"/>
      <c r="N59" s="81">
        <f t="shared" si="14"/>
        <v>0</v>
      </c>
      <c r="O59" s="99">
        <f t="shared" si="15"/>
        <v>0</v>
      </c>
      <c r="P59" s="82">
        <f>M59*K59</f>
        <v>0</v>
      </c>
      <c r="Q59" s="58">
        <f t="shared" si="17"/>
        <v>0</v>
      </c>
      <c r="R59" s="302"/>
      <c r="S59" s="303"/>
      <c r="T59" s="303"/>
    </row>
    <row r="60" spans="1:20" s="103" customFormat="1" ht="24" customHeight="1" x14ac:dyDescent="0.25">
      <c r="A60" s="253" t="s">
        <v>96</v>
      </c>
      <c r="B60" s="254" t="s">
        <v>178</v>
      </c>
      <c r="C60" s="207" t="s">
        <v>239</v>
      </c>
      <c r="D60" s="263" t="s">
        <v>218</v>
      </c>
      <c r="E60" s="101" t="s">
        <v>17</v>
      </c>
      <c r="F60" s="251" t="s">
        <v>21</v>
      </c>
      <c r="G60" s="255">
        <v>1.04</v>
      </c>
      <c r="H60" s="256">
        <f>0.084525*G60</f>
        <v>8.7906000000000012E-2</v>
      </c>
      <c r="I60" s="256"/>
      <c r="J60" s="255"/>
      <c r="K60" s="11">
        <f t="shared" si="13"/>
        <v>0.09</v>
      </c>
      <c r="L60" s="258"/>
      <c r="M60" s="259"/>
      <c r="N60" s="65">
        <f t="shared" si="14"/>
        <v>0</v>
      </c>
      <c r="O60" s="260">
        <f t="shared" si="15"/>
        <v>0</v>
      </c>
      <c r="P60" s="67">
        <f>M60*K60</f>
        <v>0</v>
      </c>
      <c r="Q60" s="68">
        <f t="shared" si="17"/>
        <v>0</v>
      </c>
      <c r="R60" s="305"/>
      <c r="S60" s="291"/>
      <c r="T60" s="291"/>
    </row>
    <row r="61" spans="1:20" s="243" customFormat="1" x14ac:dyDescent="0.25">
      <c r="A61" s="253" t="s">
        <v>97</v>
      </c>
      <c r="B61" s="214" t="s">
        <v>178</v>
      </c>
      <c r="C61" s="207" t="s">
        <v>35</v>
      </c>
      <c r="D61" s="263" t="s">
        <v>219</v>
      </c>
      <c r="E61" s="101" t="s">
        <v>17</v>
      </c>
      <c r="F61" s="100" t="s">
        <v>21</v>
      </c>
      <c r="G61" s="102">
        <v>1.04</v>
      </c>
      <c r="H61" s="74">
        <f>0.1539825*G61</f>
        <v>0.1601418</v>
      </c>
      <c r="I61" s="74"/>
      <c r="J61" s="102"/>
      <c r="K61" s="11">
        <f t="shared" si="13"/>
        <v>0.16</v>
      </c>
      <c r="L61" s="148"/>
      <c r="M61" s="156"/>
      <c r="N61" s="65">
        <f>L61+M61</f>
        <v>0</v>
      </c>
      <c r="O61" s="188">
        <f>L61*K61</f>
        <v>0</v>
      </c>
      <c r="P61" s="67">
        <f>M61*K61</f>
        <v>0</v>
      </c>
      <c r="Q61" s="68">
        <f t="shared" si="17"/>
        <v>0</v>
      </c>
      <c r="R61" s="296"/>
      <c r="S61" s="306"/>
      <c r="T61" s="306"/>
    </row>
    <row r="62" spans="1:20" s="243" customFormat="1" x14ac:dyDescent="0.25">
      <c r="A62" s="253" t="s">
        <v>98</v>
      </c>
      <c r="B62" s="214" t="s">
        <v>178</v>
      </c>
      <c r="C62" s="207" t="s">
        <v>36</v>
      </c>
      <c r="D62" s="263" t="s">
        <v>220</v>
      </c>
      <c r="E62" s="101" t="s">
        <v>17</v>
      </c>
      <c r="F62" s="100" t="s">
        <v>21</v>
      </c>
      <c r="G62" s="102">
        <v>1.04</v>
      </c>
      <c r="H62" s="74">
        <f>0.060515*G62</f>
        <v>6.2935600000000008E-2</v>
      </c>
      <c r="I62" s="74"/>
      <c r="J62" s="102"/>
      <c r="K62" s="11">
        <f t="shared" si="13"/>
        <v>0.06</v>
      </c>
      <c r="L62" s="148"/>
      <c r="M62" s="156"/>
      <c r="N62" s="65">
        <f t="shared" ref="N62:N91" si="18">L62+M62</f>
        <v>0</v>
      </c>
      <c r="O62" s="188">
        <f t="shared" ref="O62:O91" si="19">L62*K62</f>
        <v>0</v>
      </c>
      <c r="P62" s="67">
        <f t="shared" ref="P62:P91" si="20">M62*K62</f>
        <v>0</v>
      </c>
      <c r="Q62" s="68">
        <f t="shared" si="17"/>
        <v>0</v>
      </c>
      <c r="R62" s="296"/>
      <c r="S62" s="306"/>
      <c r="T62" s="306"/>
    </row>
    <row r="63" spans="1:20" s="243" customFormat="1" x14ac:dyDescent="0.25">
      <c r="A63" s="253" t="s">
        <v>99</v>
      </c>
      <c r="B63" s="214" t="s">
        <v>178</v>
      </c>
      <c r="C63" s="207" t="s">
        <v>37</v>
      </c>
      <c r="D63" s="263" t="s">
        <v>221</v>
      </c>
      <c r="E63" s="101" t="s">
        <v>17</v>
      </c>
      <c r="F63" s="100" t="s">
        <v>21</v>
      </c>
      <c r="G63" s="102">
        <v>1.04</v>
      </c>
      <c r="H63" s="74">
        <f>0.062475*G63</f>
        <v>6.4974000000000004E-2</v>
      </c>
      <c r="I63" s="74"/>
      <c r="J63" s="102"/>
      <c r="K63" s="11">
        <f t="shared" si="13"/>
        <v>0.06</v>
      </c>
      <c r="L63" s="148"/>
      <c r="M63" s="156"/>
      <c r="N63" s="65">
        <f t="shared" si="18"/>
        <v>0</v>
      </c>
      <c r="O63" s="188">
        <f t="shared" si="19"/>
        <v>0</v>
      </c>
      <c r="P63" s="67">
        <f t="shared" si="20"/>
        <v>0</v>
      </c>
      <c r="Q63" s="68">
        <f t="shared" si="17"/>
        <v>0</v>
      </c>
      <c r="R63" s="296"/>
      <c r="S63" s="306"/>
      <c r="T63" s="306"/>
    </row>
    <row r="64" spans="1:20" s="243" customFormat="1" x14ac:dyDescent="0.25">
      <c r="A64" s="253" t="s">
        <v>100</v>
      </c>
      <c r="B64" s="214" t="s">
        <v>178</v>
      </c>
      <c r="C64" s="207" t="s">
        <v>38</v>
      </c>
      <c r="D64" s="263" t="s">
        <v>222</v>
      </c>
      <c r="E64" s="101" t="s">
        <v>17</v>
      </c>
      <c r="F64" s="100" t="s">
        <v>21</v>
      </c>
      <c r="G64" s="102">
        <v>1.04</v>
      </c>
      <c r="H64" s="74">
        <f>0.068355*G64</f>
        <v>7.1089200000000005E-2</v>
      </c>
      <c r="I64" s="74"/>
      <c r="J64" s="102"/>
      <c r="K64" s="11">
        <f t="shared" si="13"/>
        <v>7.0000000000000007E-2</v>
      </c>
      <c r="L64" s="148"/>
      <c r="M64" s="156"/>
      <c r="N64" s="65">
        <f t="shared" si="18"/>
        <v>0</v>
      </c>
      <c r="O64" s="188">
        <f t="shared" si="19"/>
        <v>0</v>
      </c>
      <c r="P64" s="67">
        <f t="shared" si="20"/>
        <v>0</v>
      </c>
      <c r="Q64" s="68">
        <f t="shared" si="17"/>
        <v>0</v>
      </c>
      <c r="R64" s="296"/>
      <c r="S64" s="306"/>
      <c r="T64" s="306"/>
    </row>
    <row r="65" spans="1:20" s="243" customFormat="1" x14ac:dyDescent="0.25">
      <c r="A65" s="253" t="s">
        <v>330</v>
      </c>
      <c r="B65" s="214" t="s">
        <v>178</v>
      </c>
      <c r="C65" s="207" t="s">
        <v>39</v>
      </c>
      <c r="D65" s="263" t="s">
        <v>223</v>
      </c>
      <c r="E65" s="101" t="s">
        <v>17</v>
      </c>
      <c r="F65" s="100" t="s">
        <v>21</v>
      </c>
      <c r="G65" s="102">
        <v>1.04</v>
      </c>
      <c r="H65" s="74">
        <f>0.070805*G65</f>
        <v>7.3637200000000014E-2</v>
      </c>
      <c r="I65" s="74"/>
      <c r="J65" s="102"/>
      <c r="K65" s="11">
        <f t="shared" si="13"/>
        <v>7.0000000000000007E-2</v>
      </c>
      <c r="L65" s="148"/>
      <c r="M65" s="156"/>
      <c r="N65" s="65">
        <f t="shared" si="18"/>
        <v>0</v>
      </c>
      <c r="O65" s="188">
        <f t="shared" si="19"/>
        <v>0</v>
      </c>
      <c r="P65" s="67">
        <f t="shared" si="20"/>
        <v>0</v>
      </c>
      <c r="Q65" s="68">
        <f t="shared" si="17"/>
        <v>0</v>
      </c>
      <c r="R65" s="296"/>
      <c r="S65" s="306"/>
      <c r="T65" s="306"/>
    </row>
    <row r="66" spans="1:20" s="243" customFormat="1" x14ac:dyDescent="0.25">
      <c r="A66" s="253" t="s">
        <v>331</v>
      </c>
      <c r="B66" s="214" t="s">
        <v>178</v>
      </c>
      <c r="C66" s="207" t="s">
        <v>40</v>
      </c>
      <c r="D66" s="263" t="s">
        <v>224</v>
      </c>
      <c r="E66" s="101" t="s">
        <v>17</v>
      </c>
      <c r="F66" s="100" t="s">
        <v>21</v>
      </c>
      <c r="G66" s="102">
        <v>1.04</v>
      </c>
      <c r="H66" s="74">
        <f>0.12495*G66</f>
        <v>0.12994800000000001</v>
      </c>
      <c r="I66" s="74"/>
      <c r="J66" s="102"/>
      <c r="K66" s="11">
        <f t="shared" si="13"/>
        <v>0.13</v>
      </c>
      <c r="L66" s="148"/>
      <c r="M66" s="156"/>
      <c r="N66" s="65">
        <f t="shared" si="18"/>
        <v>0</v>
      </c>
      <c r="O66" s="188">
        <f t="shared" si="19"/>
        <v>0</v>
      </c>
      <c r="P66" s="67">
        <f t="shared" si="20"/>
        <v>0</v>
      </c>
      <c r="Q66" s="68">
        <f t="shared" si="17"/>
        <v>0</v>
      </c>
      <c r="R66" s="296"/>
      <c r="S66" s="306"/>
      <c r="T66" s="306"/>
    </row>
    <row r="67" spans="1:20" s="243" customFormat="1" x14ac:dyDescent="0.25">
      <c r="A67" s="253" t="s">
        <v>332</v>
      </c>
      <c r="B67" s="214" t="s">
        <v>178</v>
      </c>
      <c r="C67" s="207" t="s">
        <v>41</v>
      </c>
      <c r="D67" s="263" t="s">
        <v>225</v>
      </c>
      <c r="E67" s="101" t="s">
        <v>17</v>
      </c>
      <c r="F67" s="100" t="s">
        <v>21</v>
      </c>
      <c r="G67" s="102">
        <v>1.04</v>
      </c>
      <c r="H67" s="74">
        <f>0.15092*G67</f>
        <v>0.15695680000000001</v>
      </c>
      <c r="I67" s="74"/>
      <c r="J67" s="102"/>
      <c r="K67" s="11">
        <f t="shared" si="13"/>
        <v>0.16</v>
      </c>
      <c r="L67" s="148"/>
      <c r="M67" s="156"/>
      <c r="N67" s="65">
        <f t="shared" si="18"/>
        <v>0</v>
      </c>
      <c r="O67" s="188">
        <f t="shared" si="19"/>
        <v>0</v>
      </c>
      <c r="P67" s="67">
        <f t="shared" si="20"/>
        <v>0</v>
      </c>
      <c r="Q67" s="68">
        <f t="shared" si="17"/>
        <v>0</v>
      </c>
      <c r="R67" s="296"/>
      <c r="S67" s="306"/>
      <c r="T67" s="306"/>
    </row>
    <row r="68" spans="1:20" s="243" customFormat="1" x14ac:dyDescent="0.25">
      <c r="A68" s="253" t="s">
        <v>333</v>
      </c>
      <c r="B68" s="214" t="s">
        <v>178</v>
      </c>
      <c r="C68" s="207" t="s">
        <v>42</v>
      </c>
      <c r="D68" s="263" t="s">
        <v>226</v>
      </c>
      <c r="E68" s="101" t="s">
        <v>17</v>
      </c>
      <c r="F68" s="100" t="s">
        <v>21</v>
      </c>
      <c r="G68" s="102">
        <v>1.04</v>
      </c>
      <c r="H68" s="74">
        <f>0.0648025*G68</f>
        <v>6.7394599999999999E-2</v>
      </c>
      <c r="I68" s="74"/>
      <c r="J68" s="102"/>
      <c r="K68" s="11">
        <f t="shared" si="13"/>
        <v>7.0000000000000007E-2</v>
      </c>
      <c r="L68" s="148"/>
      <c r="M68" s="156"/>
      <c r="N68" s="65">
        <f t="shared" si="18"/>
        <v>0</v>
      </c>
      <c r="O68" s="188">
        <f t="shared" si="19"/>
        <v>0</v>
      </c>
      <c r="P68" s="67">
        <f t="shared" si="20"/>
        <v>0</v>
      </c>
      <c r="Q68" s="68">
        <f t="shared" si="17"/>
        <v>0</v>
      </c>
      <c r="R68" s="296"/>
      <c r="S68" s="306"/>
      <c r="T68" s="306"/>
    </row>
    <row r="69" spans="1:20" s="243" customFormat="1" x14ac:dyDescent="0.25">
      <c r="A69" s="253" t="s">
        <v>334</v>
      </c>
      <c r="B69" s="214" t="s">
        <v>178</v>
      </c>
      <c r="C69" s="207" t="s">
        <v>43</v>
      </c>
      <c r="D69" s="263" t="s">
        <v>227</v>
      </c>
      <c r="E69" s="101" t="s">
        <v>17</v>
      </c>
      <c r="F69" s="100" t="s">
        <v>21</v>
      </c>
      <c r="G69" s="102">
        <v>1.04</v>
      </c>
      <c r="H69" s="74">
        <f>0.14357*G69</f>
        <v>0.1493128</v>
      </c>
      <c r="I69" s="74"/>
      <c r="J69" s="102"/>
      <c r="K69" s="11">
        <f t="shared" si="13"/>
        <v>0.15</v>
      </c>
      <c r="L69" s="148"/>
      <c r="M69" s="156"/>
      <c r="N69" s="65">
        <f t="shared" si="18"/>
        <v>0</v>
      </c>
      <c r="O69" s="188">
        <f t="shared" si="19"/>
        <v>0</v>
      </c>
      <c r="P69" s="67">
        <f t="shared" si="20"/>
        <v>0</v>
      </c>
      <c r="Q69" s="68">
        <f t="shared" si="17"/>
        <v>0</v>
      </c>
      <c r="R69" s="296"/>
      <c r="S69" s="306"/>
      <c r="T69" s="306"/>
    </row>
    <row r="70" spans="1:20" s="243" customFormat="1" x14ac:dyDescent="0.25">
      <c r="A70" s="253" t="s">
        <v>335</v>
      </c>
      <c r="B70" s="214" t="s">
        <v>178</v>
      </c>
      <c r="C70" s="207" t="s">
        <v>44</v>
      </c>
      <c r="D70" s="263" t="s">
        <v>228</v>
      </c>
      <c r="E70" s="101" t="s">
        <v>17</v>
      </c>
      <c r="F70" s="100" t="s">
        <v>21</v>
      </c>
      <c r="G70" s="102">
        <v>1.04</v>
      </c>
      <c r="H70" s="74">
        <f>0.0784*G70</f>
        <v>8.1535999999999997E-2</v>
      </c>
      <c r="I70" s="74"/>
      <c r="J70" s="102"/>
      <c r="K70" s="11">
        <f t="shared" si="13"/>
        <v>0.08</v>
      </c>
      <c r="L70" s="148"/>
      <c r="M70" s="156"/>
      <c r="N70" s="65">
        <f t="shared" si="18"/>
        <v>0</v>
      </c>
      <c r="O70" s="188">
        <f t="shared" si="19"/>
        <v>0</v>
      </c>
      <c r="P70" s="67">
        <f t="shared" si="20"/>
        <v>0</v>
      </c>
      <c r="Q70" s="68">
        <f t="shared" si="17"/>
        <v>0</v>
      </c>
      <c r="R70" s="296"/>
      <c r="S70" s="306"/>
      <c r="T70" s="306"/>
    </row>
    <row r="71" spans="1:20" s="243" customFormat="1" x14ac:dyDescent="0.25">
      <c r="A71" s="253" t="s">
        <v>336</v>
      </c>
      <c r="B71" s="214" t="s">
        <v>178</v>
      </c>
      <c r="C71" s="207" t="s">
        <v>207</v>
      </c>
      <c r="D71" s="263" t="s">
        <v>229</v>
      </c>
      <c r="E71" s="101" t="s">
        <v>17</v>
      </c>
      <c r="F71" s="100" t="s">
        <v>21</v>
      </c>
      <c r="G71" s="102">
        <v>1.04</v>
      </c>
      <c r="H71" s="246">
        <f>0.098*G71</f>
        <v>0.10192000000000001</v>
      </c>
      <c r="I71" s="246"/>
      <c r="J71" s="489"/>
      <c r="K71" s="11">
        <f t="shared" si="13"/>
        <v>0.1</v>
      </c>
      <c r="L71" s="148"/>
      <c r="M71" s="156"/>
      <c r="N71" s="65">
        <f t="shared" si="18"/>
        <v>0</v>
      </c>
      <c r="O71" s="188">
        <f t="shared" si="19"/>
        <v>0</v>
      </c>
      <c r="P71" s="67">
        <f t="shared" si="20"/>
        <v>0</v>
      </c>
      <c r="Q71" s="68">
        <f t="shared" si="17"/>
        <v>0</v>
      </c>
      <c r="R71" s="305"/>
      <c r="S71" s="306"/>
      <c r="T71" s="306"/>
    </row>
    <row r="72" spans="1:20" s="243" customFormat="1" x14ac:dyDescent="0.25">
      <c r="A72" s="253" t="s">
        <v>337</v>
      </c>
      <c r="B72" s="214" t="s">
        <v>178</v>
      </c>
      <c r="C72" s="207" t="s">
        <v>208</v>
      </c>
      <c r="D72" s="263" t="s">
        <v>230</v>
      </c>
      <c r="E72" s="101" t="s">
        <v>17</v>
      </c>
      <c r="F72" s="100" t="s">
        <v>21</v>
      </c>
      <c r="G72" s="102">
        <v>1.04</v>
      </c>
      <c r="H72" s="246">
        <f>0.103635*G72</f>
        <v>0.10778040000000001</v>
      </c>
      <c r="I72" s="246"/>
      <c r="J72" s="489"/>
      <c r="K72" s="11">
        <f t="shared" si="13"/>
        <v>0.11</v>
      </c>
      <c r="L72" s="148"/>
      <c r="M72" s="156"/>
      <c r="N72" s="65">
        <f t="shared" si="18"/>
        <v>0</v>
      </c>
      <c r="O72" s="188">
        <f t="shared" si="19"/>
        <v>0</v>
      </c>
      <c r="P72" s="67">
        <f t="shared" si="20"/>
        <v>0</v>
      </c>
      <c r="Q72" s="68">
        <f t="shared" si="17"/>
        <v>0</v>
      </c>
      <c r="R72" s="305"/>
      <c r="S72" s="306"/>
      <c r="T72" s="306"/>
    </row>
    <row r="73" spans="1:20" s="243" customFormat="1" x14ac:dyDescent="0.25">
      <c r="A73" s="253" t="s">
        <v>338</v>
      </c>
      <c r="B73" s="214" t="s">
        <v>178</v>
      </c>
      <c r="C73" s="207" t="s">
        <v>209</v>
      </c>
      <c r="D73" s="263" t="s">
        <v>231</v>
      </c>
      <c r="E73" s="101" t="s">
        <v>17</v>
      </c>
      <c r="F73" s="100" t="s">
        <v>21</v>
      </c>
      <c r="G73" s="102">
        <v>1.04</v>
      </c>
      <c r="H73" s="246">
        <f>0.068355*G73</f>
        <v>7.1089200000000005E-2</v>
      </c>
      <c r="I73" s="246"/>
      <c r="J73" s="489"/>
      <c r="K73" s="11">
        <f t="shared" si="13"/>
        <v>7.0000000000000007E-2</v>
      </c>
      <c r="L73" s="148"/>
      <c r="M73" s="156"/>
      <c r="N73" s="65">
        <f t="shared" si="18"/>
        <v>0</v>
      </c>
      <c r="O73" s="188">
        <f t="shared" si="19"/>
        <v>0</v>
      </c>
      <c r="P73" s="67">
        <f t="shared" si="20"/>
        <v>0</v>
      </c>
      <c r="Q73" s="68">
        <f t="shared" si="17"/>
        <v>0</v>
      </c>
      <c r="R73" s="305"/>
      <c r="S73" s="306"/>
      <c r="T73" s="306"/>
    </row>
    <row r="74" spans="1:20" s="243" customFormat="1" x14ac:dyDescent="0.25">
      <c r="A74" s="253" t="s">
        <v>339</v>
      </c>
      <c r="B74" s="214" t="s">
        <v>178</v>
      </c>
      <c r="C74" s="207" t="s">
        <v>210</v>
      </c>
      <c r="D74" s="263" t="s">
        <v>232</v>
      </c>
      <c r="E74" s="101" t="s">
        <v>17</v>
      </c>
      <c r="F74" s="100" t="s">
        <v>21</v>
      </c>
      <c r="G74" s="102">
        <v>1.04</v>
      </c>
      <c r="H74" s="246">
        <f>0.0735*G74</f>
        <v>7.6439999999999994E-2</v>
      </c>
      <c r="I74" s="246"/>
      <c r="J74" s="489"/>
      <c r="K74" s="11">
        <f t="shared" si="13"/>
        <v>0.08</v>
      </c>
      <c r="L74" s="148"/>
      <c r="M74" s="156"/>
      <c r="N74" s="65">
        <f t="shared" si="18"/>
        <v>0</v>
      </c>
      <c r="O74" s="188">
        <f t="shared" si="19"/>
        <v>0</v>
      </c>
      <c r="P74" s="67">
        <f t="shared" si="20"/>
        <v>0</v>
      </c>
      <c r="Q74" s="68">
        <f t="shared" si="17"/>
        <v>0</v>
      </c>
      <c r="R74" s="305"/>
      <c r="S74" s="306"/>
      <c r="T74" s="306"/>
    </row>
    <row r="75" spans="1:20" s="243" customFormat="1" x14ac:dyDescent="0.25">
      <c r="A75" s="253" t="s">
        <v>340</v>
      </c>
      <c r="B75" s="214" t="s">
        <v>178</v>
      </c>
      <c r="C75" s="207" t="s">
        <v>211</v>
      </c>
      <c r="D75" s="263" t="s">
        <v>233</v>
      </c>
      <c r="E75" s="101" t="s">
        <v>17</v>
      </c>
      <c r="F75" s="100" t="s">
        <v>21</v>
      </c>
      <c r="G75" s="102">
        <v>1.04</v>
      </c>
      <c r="H75" s="246">
        <f>0.0750925*G75</f>
        <v>7.8096200000000005E-2</v>
      </c>
      <c r="I75" s="246"/>
      <c r="J75" s="489"/>
      <c r="K75" s="11">
        <f t="shared" si="13"/>
        <v>0.08</v>
      </c>
      <c r="L75" s="148"/>
      <c r="M75" s="156"/>
      <c r="N75" s="65">
        <f t="shared" si="18"/>
        <v>0</v>
      </c>
      <c r="O75" s="188">
        <f t="shared" si="19"/>
        <v>0</v>
      </c>
      <c r="P75" s="67">
        <f t="shared" si="20"/>
        <v>0</v>
      </c>
      <c r="Q75" s="68">
        <f t="shared" si="17"/>
        <v>0</v>
      </c>
      <c r="R75" s="305"/>
      <c r="S75" s="306"/>
      <c r="T75" s="306"/>
    </row>
    <row r="76" spans="1:20" s="243" customFormat="1" x14ac:dyDescent="0.25">
      <c r="A76" s="253" t="s">
        <v>341</v>
      </c>
      <c r="B76" s="214" t="s">
        <v>178</v>
      </c>
      <c r="C76" s="207" t="s">
        <v>212</v>
      </c>
      <c r="D76" s="263" t="s">
        <v>234</v>
      </c>
      <c r="E76" s="101" t="s">
        <v>17</v>
      </c>
      <c r="F76" s="100" t="s">
        <v>21</v>
      </c>
      <c r="G76" s="102">
        <v>1.04</v>
      </c>
      <c r="H76" s="246">
        <f>0.087465*G76</f>
        <v>9.0963600000000006E-2</v>
      </c>
      <c r="I76" s="246"/>
      <c r="J76" s="489"/>
      <c r="K76" s="11">
        <f t="shared" si="13"/>
        <v>0.09</v>
      </c>
      <c r="L76" s="148"/>
      <c r="M76" s="156"/>
      <c r="N76" s="65">
        <f t="shared" si="18"/>
        <v>0</v>
      </c>
      <c r="O76" s="188">
        <f t="shared" si="19"/>
        <v>0</v>
      </c>
      <c r="P76" s="67">
        <f t="shared" si="20"/>
        <v>0</v>
      </c>
      <c r="Q76" s="68">
        <f t="shared" si="17"/>
        <v>0</v>
      </c>
      <c r="R76" s="305"/>
      <c r="S76" s="306"/>
      <c r="T76" s="306"/>
    </row>
    <row r="77" spans="1:20" s="243" customFormat="1" x14ac:dyDescent="0.25">
      <c r="A77" s="253" t="s">
        <v>342</v>
      </c>
      <c r="B77" s="214" t="s">
        <v>178</v>
      </c>
      <c r="C77" s="207" t="s">
        <v>213</v>
      </c>
      <c r="D77" s="263" t="s">
        <v>223</v>
      </c>
      <c r="E77" s="101" t="s">
        <v>17</v>
      </c>
      <c r="F77" s="100" t="s">
        <v>21</v>
      </c>
      <c r="G77" s="102">
        <v>1.04</v>
      </c>
      <c r="H77" s="246">
        <f>0.070805*G77</f>
        <v>7.3637200000000014E-2</v>
      </c>
      <c r="I77" s="246"/>
      <c r="J77" s="489"/>
      <c r="K77" s="11">
        <f t="shared" si="13"/>
        <v>7.0000000000000007E-2</v>
      </c>
      <c r="L77" s="148"/>
      <c r="M77" s="156"/>
      <c r="N77" s="65">
        <f t="shared" si="18"/>
        <v>0</v>
      </c>
      <c r="O77" s="188">
        <f t="shared" si="19"/>
        <v>0</v>
      </c>
      <c r="P77" s="67">
        <f t="shared" si="20"/>
        <v>0</v>
      </c>
      <c r="Q77" s="68">
        <f t="shared" si="17"/>
        <v>0</v>
      </c>
      <c r="R77" s="305"/>
      <c r="S77" s="306"/>
      <c r="T77" s="306"/>
    </row>
    <row r="78" spans="1:20" s="243" customFormat="1" x14ac:dyDescent="0.25">
      <c r="A78" s="253" t="s">
        <v>343</v>
      </c>
      <c r="B78" s="214" t="s">
        <v>178</v>
      </c>
      <c r="C78" s="207" t="s">
        <v>214</v>
      </c>
      <c r="D78" s="263" t="s">
        <v>235</v>
      </c>
      <c r="E78" s="101" t="s">
        <v>17</v>
      </c>
      <c r="F78" s="100" t="s">
        <v>21</v>
      </c>
      <c r="G78" s="102">
        <v>1.04</v>
      </c>
      <c r="H78" s="246">
        <f>0.042875*G78</f>
        <v>4.4590000000000005E-2</v>
      </c>
      <c r="I78" s="246"/>
      <c r="J78" s="489"/>
      <c r="K78" s="11">
        <f t="shared" si="13"/>
        <v>0.04</v>
      </c>
      <c r="L78" s="148"/>
      <c r="M78" s="156"/>
      <c r="N78" s="65">
        <f t="shared" si="18"/>
        <v>0</v>
      </c>
      <c r="O78" s="188">
        <f t="shared" si="19"/>
        <v>0</v>
      </c>
      <c r="P78" s="67">
        <f t="shared" si="20"/>
        <v>0</v>
      </c>
      <c r="Q78" s="68">
        <f t="shared" si="17"/>
        <v>0</v>
      </c>
      <c r="R78" s="305"/>
      <c r="S78" s="306"/>
      <c r="T78" s="306"/>
    </row>
    <row r="79" spans="1:20" s="243" customFormat="1" x14ac:dyDescent="0.25">
      <c r="A79" s="253" t="s">
        <v>344</v>
      </c>
      <c r="B79" s="214" t="s">
        <v>178</v>
      </c>
      <c r="C79" s="207" t="s">
        <v>215</v>
      </c>
      <c r="D79" s="263" t="s">
        <v>236</v>
      </c>
      <c r="E79" s="101" t="s">
        <v>17</v>
      </c>
      <c r="F79" s="100" t="s">
        <v>21</v>
      </c>
      <c r="G79" s="102">
        <v>1.04</v>
      </c>
      <c r="H79" s="246">
        <f>0.0581875*G79</f>
        <v>6.0515000000000006E-2</v>
      </c>
      <c r="I79" s="246"/>
      <c r="J79" s="489"/>
      <c r="K79" s="11">
        <f t="shared" si="13"/>
        <v>0.06</v>
      </c>
      <c r="L79" s="148"/>
      <c r="M79" s="156"/>
      <c r="N79" s="65">
        <f t="shared" si="18"/>
        <v>0</v>
      </c>
      <c r="O79" s="188">
        <f t="shared" si="19"/>
        <v>0</v>
      </c>
      <c r="P79" s="67">
        <f t="shared" si="20"/>
        <v>0</v>
      </c>
      <c r="Q79" s="68">
        <f t="shared" si="17"/>
        <v>0</v>
      </c>
      <c r="R79" s="305"/>
      <c r="S79" s="306"/>
      <c r="T79" s="306"/>
    </row>
    <row r="80" spans="1:20" s="243" customFormat="1" x14ac:dyDescent="0.25">
      <c r="A80" s="253" t="s">
        <v>345</v>
      </c>
      <c r="B80" s="214" t="s">
        <v>178</v>
      </c>
      <c r="C80" s="207" t="s">
        <v>216</v>
      </c>
      <c r="D80" s="263" t="s">
        <v>237</v>
      </c>
      <c r="E80" s="101" t="s">
        <v>17</v>
      </c>
      <c r="F80" s="100" t="s">
        <v>21</v>
      </c>
      <c r="G80" s="102">
        <v>1.04</v>
      </c>
      <c r="H80" s="246">
        <f>0.072765*G80</f>
        <v>7.5675599999999996E-2</v>
      </c>
      <c r="I80" s="246"/>
      <c r="J80" s="489"/>
      <c r="K80" s="11">
        <f t="shared" si="13"/>
        <v>0.08</v>
      </c>
      <c r="L80" s="148"/>
      <c r="M80" s="156"/>
      <c r="N80" s="65">
        <f t="shared" si="18"/>
        <v>0</v>
      </c>
      <c r="O80" s="188">
        <f t="shared" si="19"/>
        <v>0</v>
      </c>
      <c r="P80" s="67">
        <f t="shared" si="20"/>
        <v>0</v>
      </c>
      <c r="Q80" s="68">
        <f t="shared" si="17"/>
        <v>0</v>
      </c>
      <c r="R80" s="305"/>
      <c r="S80" s="306"/>
      <c r="T80" s="306"/>
    </row>
    <row r="81" spans="1:29" s="243" customFormat="1" x14ac:dyDescent="0.25">
      <c r="A81" s="253" t="s">
        <v>346</v>
      </c>
      <c r="B81" s="214" t="s">
        <v>178</v>
      </c>
      <c r="C81" s="207" t="s">
        <v>217</v>
      </c>
      <c r="D81" s="263" t="s">
        <v>238</v>
      </c>
      <c r="E81" s="101" t="s">
        <v>17</v>
      </c>
      <c r="F81" s="100" t="s">
        <v>21</v>
      </c>
      <c r="G81" s="102">
        <v>1.04</v>
      </c>
      <c r="H81" s="246">
        <f>0.106575*G81</f>
        <v>0.11083800000000001</v>
      </c>
      <c r="I81" s="246"/>
      <c r="J81" s="489"/>
      <c r="K81" s="11">
        <f t="shared" si="13"/>
        <v>0.11</v>
      </c>
      <c r="L81" s="148"/>
      <c r="M81" s="156"/>
      <c r="N81" s="65">
        <f t="shared" si="18"/>
        <v>0</v>
      </c>
      <c r="O81" s="188">
        <f t="shared" si="19"/>
        <v>0</v>
      </c>
      <c r="P81" s="67">
        <f t="shared" si="20"/>
        <v>0</v>
      </c>
      <c r="Q81" s="68">
        <f t="shared" si="17"/>
        <v>0</v>
      </c>
      <c r="R81" s="305"/>
      <c r="S81" s="306"/>
      <c r="T81" s="306"/>
    </row>
    <row r="82" spans="1:29" s="243" customFormat="1" x14ac:dyDescent="0.25">
      <c r="A82" s="253" t="s">
        <v>347</v>
      </c>
      <c r="B82" s="214" t="s">
        <v>178</v>
      </c>
      <c r="C82" s="307" t="s">
        <v>240</v>
      </c>
      <c r="D82" s="263" t="s">
        <v>242</v>
      </c>
      <c r="E82" s="101" t="s">
        <v>17</v>
      </c>
      <c r="F82" s="100" t="s">
        <v>21</v>
      </c>
      <c r="G82" s="102">
        <v>1.04</v>
      </c>
      <c r="H82" s="246">
        <f>0.03185*G82</f>
        <v>3.3124000000000008E-2</v>
      </c>
      <c r="I82" s="246"/>
      <c r="J82" s="489"/>
      <c r="K82" s="11">
        <f t="shared" si="13"/>
        <v>0.03</v>
      </c>
      <c r="L82" s="248"/>
      <c r="M82" s="249"/>
      <c r="N82" s="65">
        <f t="shared" si="18"/>
        <v>0</v>
      </c>
      <c r="O82" s="188">
        <f t="shared" si="19"/>
        <v>0</v>
      </c>
      <c r="P82" s="67">
        <f t="shared" si="20"/>
        <v>0</v>
      </c>
      <c r="Q82" s="68">
        <f t="shared" si="17"/>
        <v>0</v>
      </c>
      <c r="R82" s="305"/>
      <c r="S82" s="306"/>
      <c r="T82" s="306"/>
    </row>
    <row r="83" spans="1:29" s="243" customFormat="1" x14ac:dyDescent="0.25">
      <c r="A83" s="253" t="s">
        <v>348</v>
      </c>
      <c r="B83" s="214" t="s">
        <v>178</v>
      </c>
      <c r="C83" s="307" t="s">
        <v>241</v>
      </c>
      <c r="D83" s="263" t="s">
        <v>243</v>
      </c>
      <c r="E83" s="101" t="s">
        <v>17</v>
      </c>
      <c r="F83" s="100" t="s">
        <v>21</v>
      </c>
      <c r="G83" s="102">
        <v>1.04</v>
      </c>
      <c r="H83" s="261">
        <f>0.001378*G83</f>
        <v>1.4331200000000002E-3</v>
      </c>
      <c r="I83" s="74"/>
      <c r="J83" s="102"/>
      <c r="K83" s="11">
        <f t="shared" si="13"/>
        <v>0</v>
      </c>
      <c r="L83" s="148"/>
      <c r="M83" s="156"/>
      <c r="N83" s="65">
        <f t="shared" si="18"/>
        <v>0</v>
      </c>
      <c r="O83" s="188">
        <f t="shared" si="19"/>
        <v>0</v>
      </c>
      <c r="P83" s="67">
        <f t="shared" si="20"/>
        <v>0</v>
      </c>
      <c r="Q83" s="68">
        <f t="shared" si="17"/>
        <v>0</v>
      </c>
      <c r="R83" s="296"/>
      <c r="S83" s="306"/>
      <c r="T83" s="306"/>
    </row>
    <row r="84" spans="1:29" s="243" customFormat="1" x14ac:dyDescent="0.25">
      <c r="A84" s="253" t="s">
        <v>349</v>
      </c>
      <c r="B84" s="214" t="s">
        <v>178</v>
      </c>
      <c r="C84" s="207"/>
      <c r="D84" s="95" t="s">
        <v>65</v>
      </c>
      <c r="E84" s="101" t="s">
        <v>17</v>
      </c>
      <c r="F84" s="100" t="s">
        <v>21</v>
      </c>
      <c r="G84" s="102">
        <v>1.04</v>
      </c>
      <c r="H84" s="74">
        <f>0.0678*G84</f>
        <v>7.0512000000000005E-2</v>
      </c>
      <c r="I84" s="74"/>
      <c r="J84" s="102"/>
      <c r="K84" s="11">
        <f>ROUND(H84+I84+J84,3)</f>
        <v>7.0999999999999994E-2</v>
      </c>
      <c r="L84" s="227"/>
      <c r="M84" s="228"/>
      <c r="N84" s="229">
        <f t="shared" si="18"/>
        <v>0</v>
      </c>
      <c r="O84" s="230">
        <f t="shared" si="19"/>
        <v>0</v>
      </c>
      <c r="P84" s="231">
        <f t="shared" si="20"/>
        <v>0</v>
      </c>
      <c r="Q84" s="232">
        <f t="shared" si="17"/>
        <v>0</v>
      </c>
      <c r="R84" s="326"/>
      <c r="S84" s="306"/>
      <c r="T84" s="306"/>
    </row>
    <row r="85" spans="1:29" s="243" customFormat="1" x14ac:dyDescent="0.25">
      <c r="A85" s="253" t="s">
        <v>350</v>
      </c>
      <c r="B85" s="214" t="s">
        <v>178</v>
      </c>
      <c r="C85" s="207"/>
      <c r="D85" s="95" t="s">
        <v>201</v>
      </c>
      <c r="E85" s="101" t="s">
        <v>17</v>
      </c>
      <c r="F85" s="100" t="s">
        <v>18</v>
      </c>
      <c r="G85" s="102">
        <v>1</v>
      </c>
      <c r="H85" s="308">
        <f>(1.6*0.025*0.12+1.4*0.12*1*0.025+1.4*0.065*24*0.025)</f>
        <v>6.3600000000000018E-2</v>
      </c>
      <c r="I85" s="485"/>
      <c r="J85" s="102"/>
      <c r="K85" s="11">
        <f t="shared" ref="K85:K91" si="21">ROUND(H85+I85+J85,3)</f>
        <v>6.4000000000000001E-2</v>
      </c>
      <c r="L85" s="227"/>
      <c r="M85" s="228"/>
      <c r="N85" s="229">
        <f t="shared" si="18"/>
        <v>0</v>
      </c>
      <c r="O85" s="230">
        <f t="shared" si="19"/>
        <v>0</v>
      </c>
      <c r="P85" s="231">
        <f t="shared" si="20"/>
        <v>0</v>
      </c>
      <c r="Q85" s="232">
        <f t="shared" si="17"/>
        <v>0</v>
      </c>
      <c r="R85" s="326"/>
      <c r="S85" s="306"/>
      <c r="T85" s="306"/>
    </row>
    <row r="86" spans="1:29" s="351" customFormat="1" x14ac:dyDescent="0.25">
      <c r="A86" s="253" t="s">
        <v>351</v>
      </c>
      <c r="B86" s="214" t="s">
        <v>178</v>
      </c>
      <c r="C86" s="486"/>
      <c r="D86" s="487" t="s">
        <v>409</v>
      </c>
      <c r="E86" s="101" t="s">
        <v>17</v>
      </c>
      <c r="F86" s="100" t="s">
        <v>328</v>
      </c>
      <c r="G86" s="102">
        <v>1</v>
      </c>
      <c r="H86" s="308">
        <v>28</v>
      </c>
      <c r="I86" s="488"/>
      <c r="J86" s="489"/>
      <c r="K86" s="11">
        <f t="shared" si="21"/>
        <v>28</v>
      </c>
      <c r="L86" s="343"/>
      <c r="M86" s="344"/>
      <c r="N86" s="345">
        <f t="shared" si="18"/>
        <v>0</v>
      </c>
      <c r="O86" s="346">
        <f t="shared" si="19"/>
        <v>0</v>
      </c>
      <c r="P86" s="347">
        <f t="shared" si="20"/>
        <v>0</v>
      </c>
      <c r="Q86" s="348">
        <f t="shared" si="17"/>
        <v>0</v>
      </c>
      <c r="R86" s="349"/>
      <c r="S86" s="350"/>
      <c r="T86" s="350"/>
    </row>
    <row r="87" spans="1:29" s="244" customFormat="1" x14ac:dyDescent="0.25">
      <c r="A87" s="253" t="s">
        <v>352</v>
      </c>
      <c r="B87" s="214" t="s">
        <v>178</v>
      </c>
      <c r="C87" s="207" t="s">
        <v>52</v>
      </c>
      <c r="D87" s="95" t="s">
        <v>56</v>
      </c>
      <c r="E87" s="101" t="s">
        <v>17</v>
      </c>
      <c r="F87" s="100" t="s">
        <v>21</v>
      </c>
      <c r="G87" s="102">
        <v>1.04</v>
      </c>
      <c r="H87" s="74"/>
      <c r="I87" s="74"/>
      <c r="J87" s="490">
        <f>(1.4*6*6.89/1000)*G87</f>
        <v>6.0191039999999994E-2</v>
      </c>
      <c r="K87" s="11">
        <f t="shared" si="21"/>
        <v>0.06</v>
      </c>
      <c r="L87" s="159"/>
      <c r="M87" s="189"/>
      <c r="N87" s="65">
        <f t="shared" si="18"/>
        <v>0</v>
      </c>
      <c r="O87" s="188">
        <f t="shared" si="19"/>
        <v>0</v>
      </c>
      <c r="P87" s="67">
        <f t="shared" si="20"/>
        <v>0</v>
      </c>
      <c r="Q87" s="68">
        <f t="shared" si="17"/>
        <v>0</v>
      </c>
      <c r="R87" s="296"/>
      <c r="S87" s="309"/>
      <c r="T87" s="309"/>
    </row>
    <row r="88" spans="1:29" s="244" customFormat="1" x14ac:dyDescent="0.25">
      <c r="A88" s="253" t="s">
        <v>353</v>
      </c>
      <c r="B88" s="214" t="s">
        <v>178</v>
      </c>
      <c r="C88" s="207" t="s">
        <v>53</v>
      </c>
      <c r="D88" s="103" t="s">
        <v>57</v>
      </c>
      <c r="E88" s="101" t="s">
        <v>17</v>
      </c>
      <c r="F88" s="100" t="s">
        <v>21</v>
      </c>
      <c r="G88" s="102">
        <v>1.04</v>
      </c>
      <c r="H88" s="74"/>
      <c r="I88" s="74"/>
      <c r="J88" s="490">
        <f>2.72*10.79/1000*G88</f>
        <v>3.0522752000000004E-2</v>
      </c>
      <c r="K88" s="11">
        <f t="shared" si="21"/>
        <v>3.1E-2</v>
      </c>
      <c r="L88" s="148"/>
      <c r="M88" s="156"/>
      <c r="N88" s="65">
        <f t="shared" si="18"/>
        <v>0</v>
      </c>
      <c r="O88" s="188">
        <f t="shared" si="19"/>
        <v>0</v>
      </c>
      <c r="P88" s="67">
        <f t="shared" si="20"/>
        <v>0</v>
      </c>
      <c r="Q88" s="68">
        <f t="shared" si="17"/>
        <v>0</v>
      </c>
      <c r="R88" s="296"/>
      <c r="S88" s="309"/>
      <c r="T88" s="309"/>
    </row>
    <row r="89" spans="1:29" s="244" customFormat="1" x14ac:dyDescent="0.25">
      <c r="A89" s="253" t="s">
        <v>354</v>
      </c>
      <c r="B89" s="214" t="s">
        <v>178</v>
      </c>
      <c r="C89" s="207"/>
      <c r="D89" s="95" t="s">
        <v>201</v>
      </c>
      <c r="E89" s="101" t="s">
        <v>17</v>
      </c>
      <c r="F89" s="100" t="s">
        <v>18</v>
      </c>
      <c r="G89" s="102">
        <v>1</v>
      </c>
      <c r="H89" s="74"/>
      <c r="I89" s="74"/>
      <c r="J89" s="490">
        <f>(1.4*6+1.2*2+1.3*7+0.6*5+1.8*1)*0.025*0.12*G89</f>
        <v>7.4099999999999999E-2</v>
      </c>
      <c r="K89" s="11">
        <f t="shared" si="21"/>
        <v>7.3999999999999996E-2</v>
      </c>
      <c r="L89" s="159"/>
      <c r="M89" s="189"/>
      <c r="N89" s="65">
        <f t="shared" si="18"/>
        <v>0</v>
      </c>
      <c r="O89" s="188">
        <f t="shared" si="19"/>
        <v>0</v>
      </c>
      <c r="P89" s="67">
        <f t="shared" si="20"/>
        <v>0</v>
      </c>
      <c r="Q89" s="68">
        <f t="shared" si="17"/>
        <v>0</v>
      </c>
      <c r="R89" s="296"/>
      <c r="S89" s="309"/>
      <c r="T89" s="309"/>
    </row>
    <row r="90" spans="1:29" s="244" customFormat="1" x14ac:dyDescent="0.25">
      <c r="A90" s="253" t="s">
        <v>355</v>
      </c>
      <c r="B90" s="214" t="s">
        <v>178</v>
      </c>
      <c r="C90" s="207"/>
      <c r="D90" s="95" t="s">
        <v>65</v>
      </c>
      <c r="E90" s="101" t="s">
        <v>17</v>
      </c>
      <c r="F90" s="100" t="s">
        <v>21</v>
      </c>
      <c r="G90" s="102">
        <v>1.04</v>
      </c>
      <c r="H90" s="74"/>
      <c r="I90" s="74"/>
      <c r="J90" s="490">
        <f>(1.3*21+1.4*18+1.2*6+0.6*15+1.8*3)*0.888/1000*G90</f>
        <v>6.8432832000000013E-2</v>
      </c>
      <c r="K90" s="11">
        <f t="shared" si="21"/>
        <v>6.8000000000000005E-2</v>
      </c>
      <c r="L90" s="159"/>
      <c r="M90" s="189"/>
      <c r="N90" s="65">
        <f t="shared" si="18"/>
        <v>0</v>
      </c>
      <c r="O90" s="188">
        <f t="shared" si="19"/>
        <v>0</v>
      </c>
      <c r="P90" s="67">
        <f t="shared" si="20"/>
        <v>0</v>
      </c>
      <c r="Q90" s="68">
        <f t="shared" si="17"/>
        <v>0</v>
      </c>
      <c r="R90" s="296"/>
      <c r="S90" s="309"/>
      <c r="T90" s="309"/>
    </row>
    <row r="91" spans="1:29" s="244" customFormat="1" x14ac:dyDescent="0.25">
      <c r="A91" s="253" t="s">
        <v>356</v>
      </c>
      <c r="B91" s="214" t="s">
        <v>178</v>
      </c>
      <c r="C91" s="207"/>
      <c r="D91" s="95" t="s">
        <v>61</v>
      </c>
      <c r="E91" s="101" t="s">
        <v>17</v>
      </c>
      <c r="F91" s="100" t="s">
        <v>21</v>
      </c>
      <c r="G91" s="102">
        <v>1.04</v>
      </c>
      <c r="H91" s="74"/>
      <c r="I91" s="74"/>
      <c r="J91" s="490">
        <f>0.05*0.2*9*47.1/1000*G91</f>
        <v>4.4085600000000015E-3</v>
      </c>
      <c r="K91" s="17">
        <f t="shared" si="21"/>
        <v>4.0000000000000001E-3</v>
      </c>
      <c r="L91" s="148"/>
      <c r="M91" s="156"/>
      <c r="N91" s="65">
        <f t="shared" si="18"/>
        <v>0</v>
      </c>
      <c r="O91" s="188">
        <f t="shared" si="19"/>
        <v>0</v>
      </c>
      <c r="P91" s="67">
        <f t="shared" si="20"/>
        <v>0</v>
      </c>
      <c r="Q91" s="68">
        <f t="shared" si="17"/>
        <v>0</v>
      </c>
      <c r="R91" s="296"/>
      <c r="S91" s="309"/>
      <c r="T91" s="309"/>
    </row>
    <row r="92" spans="1:29" s="287" customFormat="1" ht="26.25" customHeight="1" x14ac:dyDescent="0.25">
      <c r="A92" s="31"/>
      <c r="B92" s="212"/>
      <c r="C92" s="203"/>
      <c r="D92" s="33" t="s">
        <v>60</v>
      </c>
      <c r="E92" s="104"/>
      <c r="F92" s="104"/>
      <c r="G92" s="321"/>
      <c r="H92" s="34"/>
      <c r="I92" s="34"/>
      <c r="J92" s="35"/>
      <c r="K92" s="34"/>
      <c r="L92" s="138"/>
      <c r="M92" s="139"/>
      <c r="N92" s="90"/>
      <c r="O92" s="89"/>
      <c r="P92" s="91"/>
      <c r="Q92" s="92"/>
      <c r="R92" s="162"/>
      <c r="S92" s="163"/>
      <c r="T92" s="163"/>
      <c r="U92" s="38"/>
      <c r="V92" s="38"/>
      <c r="W92" s="38"/>
      <c r="X92" s="38"/>
      <c r="Y92" s="39"/>
      <c r="Z92" s="39"/>
      <c r="AA92" s="39"/>
      <c r="AB92" s="39"/>
      <c r="AC92" s="39"/>
    </row>
    <row r="93" spans="1:29" s="290" customFormat="1" ht="27.75" customHeight="1" x14ac:dyDescent="0.25">
      <c r="A93" s="49" t="s">
        <v>357</v>
      </c>
      <c r="B93" s="210"/>
      <c r="C93" s="199" t="s">
        <v>165</v>
      </c>
      <c r="D93" s="50" t="s">
        <v>48</v>
      </c>
      <c r="E93" s="51"/>
      <c r="F93" s="52"/>
      <c r="G93" s="53"/>
      <c r="H93" s="54"/>
      <c r="I93" s="54"/>
      <c r="J93" s="53"/>
      <c r="K93" s="14"/>
      <c r="L93" s="142"/>
      <c r="M93" s="143"/>
      <c r="N93" s="81"/>
      <c r="O93" s="78"/>
      <c r="P93" s="82"/>
      <c r="Q93" s="58"/>
      <c r="R93" s="297"/>
      <c r="S93" s="289"/>
      <c r="T93" s="289"/>
    </row>
    <row r="94" spans="1:29" s="103" customFormat="1" ht="43.5" customHeight="1" x14ac:dyDescent="0.25">
      <c r="A94" s="59" t="s">
        <v>101</v>
      </c>
      <c r="B94" s="211" t="s">
        <v>177</v>
      </c>
      <c r="C94" s="200" t="s">
        <v>165</v>
      </c>
      <c r="D94" s="60" t="s">
        <v>179</v>
      </c>
      <c r="E94" s="61" t="s">
        <v>17</v>
      </c>
      <c r="F94" s="62" t="s">
        <v>18</v>
      </c>
      <c r="G94" s="105">
        <v>1</v>
      </c>
      <c r="H94" s="64">
        <v>1063.1600000000001</v>
      </c>
      <c r="I94" s="64"/>
      <c r="J94" s="63"/>
      <c r="K94" s="11">
        <f t="shared" ref="K94:K143" si="22">ROUND(H94+I94+J94,2)</f>
        <v>1063.1600000000001</v>
      </c>
      <c r="L94" s="144"/>
      <c r="M94" s="145"/>
      <c r="N94" s="65">
        <f t="shared" ref="N94:N157" si="23">L94+M94</f>
        <v>0</v>
      </c>
      <c r="O94" s="66">
        <f t="shared" ref="O94:O157" si="24">L94*K94</f>
        <v>0</v>
      </c>
      <c r="P94" s="67">
        <f t="shared" ref="P94:P157" si="25">M94*K94</f>
        <v>0</v>
      </c>
      <c r="Q94" s="68">
        <f t="shared" ref="Q94:Q157" si="26">O94+P94</f>
        <v>0</v>
      </c>
      <c r="R94" s="166" t="s">
        <v>122</v>
      </c>
      <c r="S94" s="291"/>
      <c r="T94" s="291"/>
    </row>
    <row r="95" spans="1:29" s="294" customFormat="1" ht="30" customHeight="1" x14ac:dyDescent="0.25">
      <c r="A95" s="59" t="s">
        <v>102</v>
      </c>
      <c r="B95" s="211" t="s">
        <v>178</v>
      </c>
      <c r="C95" s="201"/>
      <c r="D95" s="183" t="s">
        <v>121</v>
      </c>
      <c r="E95" s="74" t="s">
        <v>17</v>
      </c>
      <c r="F95" s="70" t="s">
        <v>18</v>
      </c>
      <c r="G95" s="71">
        <v>1.05</v>
      </c>
      <c r="H95" s="70">
        <f>ROUND(H94*G95,2)</f>
        <v>1116.32</v>
      </c>
      <c r="I95" s="70"/>
      <c r="J95" s="71"/>
      <c r="K95" s="11">
        <f t="shared" si="22"/>
        <v>1116.32</v>
      </c>
      <c r="L95" s="146"/>
      <c r="M95" s="147"/>
      <c r="N95" s="65">
        <f t="shared" si="23"/>
        <v>0</v>
      </c>
      <c r="O95" s="66">
        <f t="shared" si="24"/>
        <v>0</v>
      </c>
      <c r="P95" s="67">
        <f t="shared" si="25"/>
        <v>0</v>
      </c>
      <c r="Q95" s="68">
        <f t="shared" si="26"/>
        <v>0</v>
      </c>
      <c r="R95" s="299"/>
      <c r="S95" s="293"/>
      <c r="T95" s="293"/>
    </row>
    <row r="96" spans="1:29" ht="28.5" customHeight="1" x14ac:dyDescent="0.25">
      <c r="A96" s="59" t="s">
        <v>103</v>
      </c>
      <c r="B96" s="211" t="s">
        <v>178</v>
      </c>
      <c r="C96" s="202"/>
      <c r="D96" s="95" t="s">
        <v>201</v>
      </c>
      <c r="E96" s="74" t="s">
        <v>17</v>
      </c>
      <c r="F96" s="100" t="s">
        <v>18</v>
      </c>
      <c r="G96" s="102">
        <v>0.22</v>
      </c>
      <c r="H96" s="74">
        <f>181.1*G96</f>
        <v>39.841999999999999</v>
      </c>
      <c r="I96" s="74"/>
      <c r="J96" s="102"/>
      <c r="K96" s="11">
        <f t="shared" si="22"/>
        <v>39.840000000000003</v>
      </c>
      <c r="L96" s="148"/>
      <c r="M96" s="149"/>
      <c r="N96" s="65">
        <f t="shared" si="23"/>
        <v>0</v>
      </c>
      <c r="O96" s="66">
        <f t="shared" si="24"/>
        <v>0</v>
      </c>
      <c r="P96" s="67">
        <f t="shared" si="25"/>
        <v>0</v>
      </c>
      <c r="Q96" s="68">
        <f t="shared" si="26"/>
        <v>0</v>
      </c>
      <c r="R96" s="167"/>
    </row>
    <row r="97" spans="1:20" ht="28.5" customHeight="1" x14ac:dyDescent="0.25">
      <c r="A97" s="59" t="s">
        <v>104</v>
      </c>
      <c r="B97" s="211" t="s">
        <v>178</v>
      </c>
      <c r="C97" s="202"/>
      <c r="D97" s="95" t="s">
        <v>173</v>
      </c>
      <c r="E97" s="74" t="s">
        <v>17</v>
      </c>
      <c r="F97" s="100" t="s">
        <v>23</v>
      </c>
      <c r="G97" s="102">
        <v>30</v>
      </c>
      <c r="H97" s="74">
        <f>G97*882.06</f>
        <v>26461.8</v>
      </c>
      <c r="I97" s="74"/>
      <c r="J97" s="102"/>
      <c r="K97" s="11">
        <f t="shared" si="22"/>
        <v>26461.8</v>
      </c>
      <c r="L97" s="177"/>
      <c r="M97" s="149"/>
      <c r="N97" s="65">
        <f t="shared" si="23"/>
        <v>0</v>
      </c>
      <c r="O97" s="66">
        <f t="shared" si="24"/>
        <v>0</v>
      </c>
      <c r="P97" s="67">
        <f t="shared" si="25"/>
        <v>0</v>
      </c>
      <c r="Q97" s="68">
        <f t="shared" si="26"/>
        <v>0</v>
      </c>
      <c r="R97" s="167"/>
    </row>
    <row r="98" spans="1:20" ht="25.5" customHeight="1" x14ac:dyDescent="0.25">
      <c r="A98" s="59" t="s">
        <v>195</v>
      </c>
      <c r="B98" s="211" t="s">
        <v>178</v>
      </c>
      <c r="C98" s="202"/>
      <c r="D98" s="95" t="s">
        <v>206</v>
      </c>
      <c r="E98" s="74" t="s">
        <v>17</v>
      </c>
      <c r="F98" s="100" t="s">
        <v>20</v>
      </c>
      <c r="G98" s="102">
        <v>1.1000000000000001</v>
      </c>
      <c r="H98" s="74">
        <f>2017.78*G98</f>
        <v>2219.558</v>
      </c>
      <c r="I98" s="74"/>
      <c r="J98" s="102"/>
      <c r="K98" s="11">
        <f t="shared" si="22"/>
        <v>2219.56</v>
      </c>
      <c r="L98" s="148"/>
      <c r="M98" s="149"/>
      <c r="N98" s="65">
        <f t="shared" si="23"/>
        <v>0</v>
      </c>
      <c r="O98" s="66">
        <f t="shared" si="24"/>
        <v>0</v>
      </c>
      <c r="P98" s="67">
        <f t="shared" si="25"/>
        <v>0</v>
      </c>
      <c r="Q98" s="68">
        <f t="shared" si="26"/>
        <v>0</v>
      </c>
      <c r="R98" s="298"/>
    </row>
    <row r="99" spans="1:20" s="290" customFormat="1" ht="27.75" customHeight="1" x14ac:dyDescent="0.25">
      <c r="A99" s="49" t="s">
        <v>105</v>
      </c>
      <c r="B99" s="210"/>
      <c r="C99" s="199" t="s">
        <v>165</v>
      </c>
      <c r="D99" s="50" t="s">
        <v>49</v>
      </c>
      <c r="E99" s="51"/>
      <c r="F99" s="52"/>
      <c r="G99" s="53"/>
      <c r="H99" s="54"/>
      <c r="I99" s="54"/>
      <c r="J99" s="53"/>
      <c r="K99" s="14"/>
      <c r="L99" s="142"/>
      <c r="M99" s="143"/>
      <c r="N99" s="81">
        <f t="shared" si="23"/>
        <v>0</v>
      </c>
      <c r="O99" s="78">
        <f t="shared" si="24"/>
        <v>0</v>
      </c>
      <c r="P99" s="82">
        <f t="shared" si="25"/>
        <v>0</v>
      </c>
      <c r="Q99" s="58">
        <f t="shared" si="26"/>
        <v>0</v>
      </c>
      <c r="R99" s="297"/>
      <c r="S99" s="289"/>
      <c r="T99" s="289"/>
    </row>
    <row r="100" spans="1:20" s="103" customFormat="1" ht="34.5" customHeight="1" x14ac:dyDescent="0.25">
      <c r="A100" s="59" t="s">
        <v>106</v>
      </c>
      <c r="B100" s="211" t="s">
        <v>177</v>
      </c>
      <c r="C100" s="200" t="s">
        <v>165</v>
      </c>
      <c r="D100" s="60" t="s">
        <v>188</v>
      </c>
      <c r="E100" s="61" t="s">
        <v>17</v>
      </c>
      <c r="F100" s="62" t="s">
        <v>18</v>
      </c>
      <c r="G100" s="105">
        <v>1</v>
      </c>
      <c r="H100" s="64">
        <f>2308.1-8.88</f>
        <v>2299.2199999999998</v>
      </c>
      <c r="I100" s="64"/>
      <c r="J100" s="63"/>
      <c r="K100" s="11">
        <f t="shared" si="22"/>
        <v>2299.2199999999998</v>
      </c>
      <c r="L100" s="144"/>
      <c r="M100" s="145"/>
      <c r="N100" s="65">
        <f t="shared" si="23"/>
        <v>0</v>
      </c>
      <c r="O100" s="66">
        <f t="shared" si="24"/>
        <v>0</v>
      </c>
      <c r="P100" s="67">
        <f t="shared" si="25"/>
        <v>0</v>
      </c>
      <c r="Q100" s="68">
        <f t="shared" si="26"/>
        <v>0</v>
      </c>
      <c r="R100" s="166" t="s">
        <v>122</v>
      </c>
      <c r="S100" s="291"/>
      <c r="T100" s="291"/>
    </row>
    <row r="101" spans="1:20" s="294" customFormat="1" ht="30" customHeight="1" x14ac:dyDescent="0.25">
      <c r="A101" s="59" t="s">
        <v>107</v>
      </c>
      <c r="B101" s="211" t="s">
        <v>178</v>
      </c>
      <c r="C101" s="201"/>
      <c r="D101" s="183" t="s">
        <v>121</v>
      </c>
      <c r="E101" s="61" t="s">
        <v>17</v>
      </c>
      <c r="F101" s="70" t="s">
        <v>18</v>
      </c>
      <c r="G101" s="71">
        <v>1.05</v>
      </c>
      <c r="H101" s="70">
        <f>ROUND(H100*G101,2)</f>
        <v>2414.1799999999998</v>
      </c>
      <c r="I101" s="70"/>
      <c r="J101" s="71"/>
      <c r="K101" s="11">
        <f t="shared" si="22"/>
        <v>2414.1799999999998</v>
      </c>
      <c r="L101" s="146"/>
      <c r="M101" s="147"/>
      <c r="N101" s="65">
        <f t="shared" si="23"/>
        <v>0</v>
      </c>
      <c r="O101" s="66">
        <f t="shared" si="24"/>
        <v>0</v>
      </c>
      <c r="P101" s="67">
        <f t="shared" si="25"/>
        <v>0</v>
      </c>
      <c r="Q101" s="68">
        <f t="shared" si="26"/>
        <v>0</v>
      </c>
      <c r="R101" s="299"/>
      <c r="S101" s="293"/>
      <c r="T101" s="293"/>
    </row>
    <row r="102" spans="1:20" s="294" customFormat="1" ht="26.25" customHeight="1" x14ac:dyDescent="0.25">
      <c r="A102" s="59" t="s">
        <v>108</v>
      </c>
      <c r="B102" s="211" t="s">
        <v>178</v>
      </c>
      <c r="C102" s="201"/>
      <c r="D102" s="95" t="s">
        <v>201</v>
      </c>
      <c r="E102" s="61" t="s">
        <v>17</v>
      </c>
      <c r="F102" s="100" t="s">
        <v>18</v>
      </c>
      <c r="G102" s="102">
        <v>0.22</v>
      </c>
      <c r="H102" s="74">
        <f>195.1*G102</f>
        <v>42.921999999999997</v>
      </c>
      <c r="I102" s="70"/>
      <c r="J102" s="71"/>
      <c r="K102" s="11">
        <f t="shared" si="22"/>
        <v>42.92</v>
      </c>
      <c r="L102" s="179"/>
      <c r="M102" s="147"/>
      <c r="N102" s="65">
        <f t="shared" si="23"/>
        <v>0</v>
      </c>
      <c r="O102" s="66">
        <f t="shared" si="24"/>
        <v>0</v>
      </c>
      <c r="P102" s="67">
        <f t="shared" si="25"/>
        <v>0</v>
      </c>
      <c r="Q102" s="68">
        <f t="shared" si="26"/>
        <v>0</v>
      </c>
      <c r="R102" s="299"/>
      <c r="S102" s="293"/>
      <c r="T102" s="293"/>
    </row>
    <row r="103" spans="1:20" ht="26.25" customHeight="1" x14ac:dyDescent="0.25">
      <c r="A103" s="59" t="s">
        <v>109</v>
      </c>
      <c r="B103" s="211" t="s">
        <v>178</v>
      </c>
      <c r="C103" s="202"/>
      <c r="D103" s="95" t="s">
        <v>173</v>
      </c>
      <c r="E103" s="61" t="s">
        <v>17</v>
      </c>
      <c r="F103" s="100" t="s">
        <v>23</v>
      </c>
      <c r="G103" s="102">
        <v>30</v>
      </c>
      <c r="H103" s="74">
        <f>(H100-195.1)*G103</f>
        <v>63123.6</v>
      </c>
      <c r="I103" s="74"/>
      <c r="J103" s="102"/>
      <c r="K103" s="11">
        <f t="shared" si="22"/>
        <v>63123.6</v>
      </c>
      <c r="L103" s="148"/>
      <c r="M103" s="149"/>
      <c r="N103" s="65">
        <f t="shared" si="23"/>
        <v>0</v>
      </c>
      <c r="O103" s="66">
        <f t="shared" si="24"/>
        <v>0</v>
      </c>
      <c r="P103" s="67">
        <f t="shared" si="25"/>
        <v>0</v>
      </c>
      <c r="Q103" s="68">
        <f t="shared" si="26"/>
        <v>0</v>
      </c>
      <c r="R103" s="167"/>
    </row>
    <row r="104" spans="1:20" ht="24" customHeight="1" x14ac:dyDescent="0.25">
      <c r="A104" s="59" t="s">
        <v>304</v>
      </c>
      <c r="B104" s="211" t="s">
        <v>178</v>
      </c>
      <c r="C104" s="202"/>
      <c r="D104" s="95" t="s">
        <v>206</v>
      </c>
      <c r="E104" s="61" t="s">
        <v>17</v>
      </c>
      <c r="F104" s="72" t="s">
        <v>20</v>
      </c>
      <c r="G104" s="73">
        <v>1.1000000000000001</v>
      </c>
      <c r="H104" s="69">
        <f>3896.06*G104</f>
        <v>4285.6660000000002</v>
      </c>
      <c r="I104" s="69"/>
      <c r="J104" s="73"/>
      <c r="K104" s="11">
        <f t="shared" si="22"/>
        <v>4285.67</v>
      </c>
      <c r="L104" s="148"/>
      <c r="M104" s="149"/>
      <c r="N104" s="65">
        <f t="shared" si="23"/>
        <v>0</v>
      </c>
      <c r="O104" s="66">
        <f t="shared" si="24"/>
        <v>0</v>
      </c>
      <c r="P104" s="67">
        <f t="shared" si="25"/>
        <v>0</v>
      </c>
      <c r="Q104" s="68">
        <f t="shared" si="26"/>
        <v>0</v>
      </c>
      <c r="R104" s="298"/>
    </row>
    <row r="105" spans="1:20" s="103" customFormat="1" ht="23.25" customHeight="1" x14ac:dyDescent="0.25">
      <c r="A105" s="49" t="s">
        <v>358</v>
      </c>
      <c r="B105" s="210"/>
      <c r="C105" s="199" t="s">
        <v>165</v>
      </c>
      <c r="D105" s="50" t="s">
        <v>186</v>
      </c>
      <c r="E105" s="51"/>
      <c r="F105" s="52"/>
      <c r="G105" s="53"/>
      <c r="H105" s="54"/>
      <c r="I105" s="54"/>
      <c r="J105" s="53"/>
      <c r="K105" s="14"/>
      <c r="L105" s="142"/>
      <c r="M105" s="143"/>
      <c r="N105" s="81"/>
      <c r="O105" s="78"/>
      <c r="P105" s="82"/>
      <c r="Q105" s="58"/>
      <c r="R105" s="297"/>
      <c r="S105" s="291"/>
      <c r="T105" s="291"/>
    </row>
    <row r="106" spans="1:20" s="103" customFormat="1" ht="36" x14ac:dyDescent="0.25">
      <c r="A106" s="59" t="s">
        <v>110</v>
      </c>
      <c r="B106" s="211" t="s">
        <v>177</v>
      </c>
      <c r="C106" s="200" t="s">
        <v>165</v>
      </c>
      <c r="D106" s="60" t="s">
        <v>183</v>
      </c>
      <c r="E106" s="61" t="s">
        <v>17</v>
      </c>
      <c r="F106" s="62" t="s">
        <v>18</v>
      </c>
      <c r="G106" s="106">
        <v>1</v>
      </c>
      <c r="H106" s="11">
        <v>14.29</v>
      </c>
      <c r="I106" s="10"/>
      <c r="J106" s="13"/>
      <c r="K106" s="11">
        <f t="shared" si="22"/>
        <v>14.29</v>
      </c>
      <c r="L106" s="216"/>
      <c r="M106" s="153"/>
      <c r="N106" s="65">
        <f t="shared" ref="N106:N109" si="27">L106+M106</f>
        <v>0</v>
      </c>
      <c r="O106" s="188">
        <f t="shared" ref="O106:O109" si="28">L106*K106</f>
        <v>0</v>
      </c>
      <c r="P106" s="67">
        <f t="shared" ref="P106:P109" si="29">M106*K106</f>
        <v>0</v>
      </c>
      <c r="Q106" s="68">
        <f t="shared" ref="Q106:Q109" si="30">O106+P106</f>
        <v>0</v>
      </c>
      <c r="R106" s="167" t="s">
        <v>122</v>
      </c>
      <c r="S106" s="291"/>
      <c r="T106" s="291"/>
    </row>
    <row r="107" spans="1:20" s="311" customFormat="1" ht="17.25" customHeight="1" x14ac:dyDescent="0.25">
      <c r="A107" s="59" t="s">
        <v>111</v>
      </c>
      <c r="B107" s="211" t="s">
        <v>178</v>
      </c>
      <c r="C107" s="217"/>
      <c r="D107" s="95" t="s">
        <v>190</v>
      </c>
      <c r="E107" s="61" t="s">
        <v>17</v>
      </c>
      <c r="F107" s="70" t="s">
        <v>19</v>
      </c>
      <c r="G107" s="186">
        <v>400</v>
      </c>
      <c r="H107" s="70">
        <f>H106*G107</f>
        <v>5716</v>
      </c>
      <c r="I107" s="186"/>
      <c r="J107" s="184"/>
      <c r="K107" s="11">
        <f t="shared" si="22"/>
        <v>5716</v>
      </c>
      <c r="L107" s="148"/>
      <c r="M107" s="156"/>
      <c r="N107" s="65">
        <f t="shared" si="27"/>
        <v>0</v>
      </c>
      <c r="O107" s="188">
        <f t="shared" si="28"/>
        <v>0</v>
      </c>
      <c r="P107" s="67">
        <f t="shared" si="29"/>
        <v>0</v>
      </c>
      <c r="Q107" s="68">
        <f t="shared" si="30"/>
        <v>0</v>
      </c>
      <c r="R107" s="292"/>
      <c r="S107" s="310"/>
      <c r="T107" s="310"/>
    </row>
    <row r="108" spans="1:20" s="103" customFormat="1" ht="17.25" customHeight="1" x14ac:dyDescent="0.25">
      <c r="A108" s="59" t="s">
        <v>112</v>
      </c>
      <c r="B108" s="211" t="s">
        <v>178</v>
      </c>
      <c r="C108" s="218"/>
      <c r="D108" s="95" t="s">
        <v>201</v>
      </c>
      <c r="E108" s="61" t="s">
        <v>17</v>
      </c>
      <c r="F108" s="100" t="s">
        <v>18</v>
      </c>
      <c r="G108" s="74">
        <v>0.24</v>
      </c>
      <c r="H108" s="70">
        <f>G108*H106</f>
        <v>3.4295999999999998</v>
      </c>
      <c r="I108" s="100"/>
      <c r="J108" s="185"/>
      <c r="K108" s="11">
        <f t="shared" si="22"/>
        <v>3.43</v>
      </c>
      <c r="L108" s="148"/>
      <c r="M108" s="156"/>
      <c r="N108" s="65">
        <f t="shared" si="27"/>
        <v>0</v>
      </c>
      <c r="O108" s="188">
        <f t="shared" si="28"/>
        <v>0</v>
      </c>
      <c r="P108" s="67">
        <f t="shared" si="29"/>
        <v>0</v>
      </c>
      <c r="Q108" s="68">
        <f t="shared" si="30"/>
        <v>0</v>
      </c>
      <c r="R108" s="167"/>
      <c r="S108" s="291"/>
      <c r="T108" s="291"/>
    </row>
    <row r="109" spans="1:20" s="103" customFormat="1" ht="24.75" customHeight="1" x14ac:dyDescent="0.25">
      <c r="A109" s="59" t="s">
        <v>205</v>
      </c>
      <c r="B109" s="211" t="s">
        <v>178</v>
      </c>
      <c r="C109" s="218"/>
      <c r="D109" s="95" t="s">
        <v>206</v>
      </c>
      <c r="E109" s="61" t="s">
        <v>17</v>
      </c>
      <c r="F109" s="100" t="s">
        <v>20</v>
      </c>
      <c r="G109" s="74">
        <v>1.1000000000000001</v>
      </c>
      <c r="H109" s="70">
        <f>87*G109</f>
        <v>95.7</v>
      </c>
      <c r="I109" s="100"/>
      <c r="J109" s="185"/>
      <c r="K109" s="11">
        <f t="shared" si="22"/>
        <v>95.7</v>
      </c>
      <c r="L109" s="148"/>
      <c r="M109" s="156"/>
      <c r="N109" s="65">
        <f t="shared" si="27"/>
        <v>0</v>
      </c>
      <c r="O109" s="188">
        <f t="shared" si="28"/>
        <v>0</v>
      </c>
      <c r="P109" s="67">
        <f t="shared" si="29"/>
        <v>0</v>
      </c>
      <c r="Q109" s="68">
        <f t="shared" si="30"/>
        <v>0</v>
      </c>
      <c r="R109" s="296"/>
      <c r="S109" s="291"/>
      <c r="T109" s="291"/>
    </row>
    <row r="110" spans="1:20" s="290" customFormat="1" ht="26.25" customHeight="1" x14ac:dyDescent="0.25">
      <c r="A110" s="49" t="s">
        <v>113</v>
      </c>
      <c r="B110" s="210"/>
      <c r="C110" s="199" t="s">
        <v>165</v>
      </c>
      <c r="D110" s="50" t="s">
        <v>50</v>
      </c>
      <c r="E110" s="75"/>
      <c r="F110" s="76"/>
      <c r="G110" s="77"/>
      <c r="H110" s="79"/>
      <c r="I110" s="80"/>
      <c r="J110" s="77"/>
      <c r="K110" s="15"/>
      <c r="L110" s="150"/>
      <c r="M110" s="151"/>
      <c r="N110" s="81"/>
      <c r="O110" s="78"/>
      <c r="P110" s="82"/>
      <c r="Q110" s="58"/>
      <c r="R110" s="297"/>
      <c r="S110" s="289"/>
      <c r="T110" s="289"/>
    </row>
    <row r="111" spans="1:20" s="336" customFormat="1" ht="33.75" customHeight="1" x14ac:dyDescent="0.25">
      <c r="A111" s="59" t="s">
        <v>114</v>
      </c>
      <c r="B111" s="211" t="s">
        <v>177</v>
      </c>
      <c r="C111" s="200" t="s">
        <v>165</v>
      </c>
      <c r="D111" s="60" t="s">
        <v>198</v>
      </c>
      <c r="E111" s="61" t="s">
        <v>17</v>
      </c>
      <c r="F111" s="62" t="s">
        <v>20</v>
      </c>
      <c r="G111" s="502">
        <v>1</v>
      </c>
      <c r="H111" s="11">
        <f>15177.265</f>
        <v>15177.264999999999</v>
      </c>
      <c r="I111" s="10"/>
      <c r="J111" s="503"/>
      <c r="K111" s="11">
        <f t="shared" si="22"/>
        <v>15177.27</v>
      </c>
      <c r="L111" s="328"/>
      <c r="M111" s="329"/>
      <c r="N111" s="330">
        <f t="shared" si="23"/>
        <v>0</v>
      </c>
      <c r="O111" s="331">
        <f t="shared" si="24"/>
        <v>0</v>
      </c>
      <c r="P111" s="332">
        <f t="shared" si="25"/>
        <v>0</v>
      </c>
      <c r="Q111" s="333">
        <f t="shared" si="26"/>
        <v>0</v>
      </c>
      <c r="R111" s="334" t="s">
        <v>122</v>
      </c>
      <c r="S111" s="335"/>
      <c r="T111" s="335"/>
    </row>
    <row r="112" spans="1:20" s="339" customFormat="1" ht="20.25" customHeight="1" x14ac:dyDescent="0.25">
      <c r="A112" s="59" t="s">
        <v>115</v>
      </c>
      <c r="B112" s="211" t="s">
        <v>178</v>
      </c>
      <c r="C112" s="217"/>
      <c r="D112" s="504" t="s">
        <v>199</v>
      </c>
      <c r="E112" s="61" t="s">
        <v>17</v>
      </c>
      <c r="F112" s="70" t="s">
        <v>19</v>
      </c>
      <c r="G112" s="505">
        <v>8</v>
      </c>
      <c r="H112" s="70">
        <f>ROUND(H111*G112,0)</f>
        <v>121418</v>
      </c>
      <c r="I112" s="186"/>
      <c r="J112" s="506"/>
      <c r="K112" s="11">
        <f t="shared" si="22"/>
        <v>121418</v>
      </c>
      <c r="L112" s="328"/>
      <c r="M112" s="329"/>
      <c r="N112" s="330">
        <f t="shared" si="23"/>
        <v>0</v>
      </c>
      <c r="O112" s="331">
        <f t="shared" si="24"/>
        <v>0</v>
      </c>
      <c r="P112" s="332">
        <f t="shared" si="25"/>
        <v>0</v>
      </c>
      <c r="Q112" s="333">
        <f t="shared" si="26"/>
        <v>0</v>
      </c>
      <c r="R112" s="337"/>
      <c r="S112" s="338"/>
      <c r="T112" s="338"/>
    </row>
    <row r="113" spans="1:20" s="339" customFormat="1" ht="20.25" customHeight="1" x14ac:dyDescent="0.25">
      <c r="A113" s="59" t="s">
        <v>116</v>
      </c>
      <c r="B113" s="211" t="s">
        <v>178</v>
      </c>
      <c r="C113" s="507"/>
      <c r="D113" s="95" t="s">
        <v>55</v>
      </c>
      <c r="E113" s="61" t="s">
        <v>17</v>
      </c>
      <c r="F113" s="508" t="s">
        <v>18</v>
      </c>
      <c r="G113" s="509" t="s">
        <v>202</v>
      </c>
      <c r="H113" s="508">
        <f>G113*111.54</f>
        <v>2.2308000000000003</v>
      </c>
      <c r="I113" s="510"/>
      <c r="J113" s="511"/>
      <c r="K113" s="11">
        <f t="shared" si="22"/>
        <v>2.23</v>
      </c>
      <c r="L113" s="340"/>
      <c r="M113" s="341"/>
      <c r="N113" s="330">
        <f t="shared" ref="N113:N115" si="31">L113+M113</f>
        <v>0</v>
      </c>
      <c r="O113" s="331">
        <f t="shared" ref="O113:O115" si="32">L113*K113</f>
        <v>0</v>
      </c>
      <c r="P113" s="332">
        <f t="shared" ref="P113:P115" si="33">M113*K113</f>
        <v>0</v>
      </c>
      <c r="Q113" s="333">
        <f t="shared" ref="Q113:Q115" si="34">O113+P113</f>
        <v>0</v>
      </c>
      <c r="R113" s="342"/>
      <c r="S113" s="338"/>
      <c r="T113" s="338"/>
    </row>
    <row r="114" spans="1:20" s="339" customFormat="1" ht="20.25" customHeight="1" x14ac:dyDescent="0.25">
      <c r="A114" s="59" t="s">
        <v>117</v>
      </c>
      <c r="B114" s="211" t="s">
        <v>178</v>
      </c>
      <c r="C114" s="507"/>
      <c r="D114" s="95" t="s">
        <v>200</v>
      </c>
      <c r="E114" s="61" t="s">
        <v>17</v>
      </c>
      <c r="F114" s="508" t="s">
        <v>23</v>
      </c>
      <c r="G114" s="509" t="s">
        <v>203</v>
      </c>
      <c r="H114" s="508">
        <f>G114*13783</f>
        <v>27566</v>
      </c>
      <c r="I114" s="510"/>
      <c r="J114" s="511"/>
      <c r="K114" s="11">
        <f t="shared" si="22"/>
        <v>27566</v>
      </c>
      <c r="L114" s="340"/>
      <c r="M114" s="341"/>
      <c r="N114" s="330">
        <f t="shared" si="31"/>
        <v>0</v>
      </c>
      <c r="O114" s="331">
        <f t="shared" si="32"/>
        <v>0</v>
      </c>
      <c r="P114" s="332">
        <f t="shared" si="33"/>
        <v>0</v>
      </c>
      <c r="Q114" s="333">
        <f t="shared" si="34"/>
        <v>0</v>
      </c>
      <c r="R114" s="342"/>
      <c r="S114" s="338"/>
      <c r="T114" s="338"/>
    </row>
    <row r="115" spans="1:20" s="336" customFormat="1" ht="26.25" customHeight="1" x14ac:dyDescent="0.25">
      <c r="A115" s="59" t="s">
        <v>359</v>
      </c>
      <c r="B115" s="211" t="s">
        <v>178</v>
      </c>
      <c r="C115" s="218"/>
      <c r="D115" s="95" t="s">
        <v>206</v>
      </c>
      <c r="E115" s="61" t="s">
        <v>17</v>
      </c>
      <c r="F115" s="100" t="s">
        <v>20</v>
      </c>
      <c r="G115" s="512" t="s">
        <v>204</v>
      </c>
      <c r="H115" s="70">
        <f>1784.33*G115</f>
        <v>1962.7630000000001</v>
      </c>
      <c r="I115" s="100"/>
      <c r="J115" s="513"/>
      <c r="K115" s="11">
        <f t="shared" si="22"/>
        <v>1962.76</v>
      </c>
      <c r="L115" s="328"/>
      <c r="M115" s="329"/>
      <c r="N115" s="330">
        <f t="shared" si="31"/>
        <v>0</v>
      </c>
      <c r="O115" s="331">
        <f t="shared" si="32"/>
        <v>0</v>
      </c>
      <c r="P115" s="332">
        <f t="shared" si="33"/>
        <v>0</v>
      </c>
      <c r="Q115" s="333">
        <f t="shared" si="34"/>
        <v>0</v>
      </c>
      <c r="R115" s="334"/>
      <c r="S115" s="335"/>
      <c r="T115" s="335"/>
    </row>
    <row r="116" spans="1:20" s="290" customFormat="1" ht="23.25" customHeight="1" x14ac:dyDescent="0.25">
      <c r="A116" s="49" t="s">
        <v>118</v>
      </c>
      <c r="B116" s="210"/>
      <c r="C116" s="199" t="s">
        <v>165</v>
      </c>
      <c r="D116" s="50" t="s">
        <v>51</v>
      </c>
      <c r="E116" s="75"/>
      <c r="F116" s="76"/>
      <c r="G116" s="75"/>
      <c r="H116" s="75"/>
      <c r="I116" s="75"/>
      <c r="J116" s="77"/>
      <c r="K116" s="15"/>
      <c r="L116" s="150"/>
      <c r="M116" s="151"/>
      <c r="N116" s="81"/>
      <c r="O116" s="78"/>
      <c r="P116" s="82"/>
      <c r="Q116" s="58"/>
      <c r="R116" s="297"/>
      <c r="S116" s="289"/>
      <c r="T116" s="289"/>
    </row>
    <row r="117" spans="1:20" s="103" customFormat="1" ht="36" x14ac:dyDescent="0.25">
      <c r="A117" s="59" t="s">
        <v>196</v>
      </c>
      <c r="B117" s="211" t="s">
        <v>177</v>
      </c>
      <c r="C117" s="200" t="s">
        <v>165</v>
      </c>
      <c r="D117" s="60" t="s">
        <v>189</v>
      </c>
      <c r="E117" s="61" t="s">
        <v>17</v>
      </c>
      <c r="F117" s="62" t="s">
        <v>20</v>
      </c>
      <c r="G117" s="106">
        <v>1</v>
      </c>
      <c r="H117" s="11">
        <f>2165.67-J49-H32</f>
        <v>1829.6200000000001</v>
      </c>
      <c r="I117" s="10"/>
      <c r="J117" s="13"/>
      <c r="K117" s="11">
        <f t="shared" si="22"/>
        <v>1829.62</v>
      </c>
      <c r="L117" s="152"/>
      <c r="M117" s="153"/>
      <c r="N117" s="65">
        <f t="shared" si="23"/>
        <v>0</v>
      </c>
      <c r="O117" s="66">
        <f t="shared" si="24"/>
        <v>0</v>
      </c>
      <c r="P117" s="67">
        <f t="shared" si="25"/>
        <v>0</v>
      </c>
      <c r="Q117" s="68">
        <f t="shared" si="26"/>
        <v>0</v>
      </c>
      <c r="R117" s="166" t="s">
        <v>122</v>
      </c>
      <c r="S117" s="291"/>
      <c r="T117" s="291"/>
    </row>
    <row r="118" spans="1:20" s="294" customFormat="1" ht="16.5" customHeight="1" x14ac:dyDescent="0.25">
      <c r="A118" s="59" t="s">
        <v>197</v>
      </c>
      <c r="B118" s="211" t="s">
        <v>178</v>
      </c>
      <c r="C118" s="217"/>
      <c r="D118" s="95" t="s">
        <v>190</v>
      </c>
      <c r="E118" s="61" t="s">
        <v>17</v>
      </c>
      <c r="F118" s="70" t="s">
        <v>19</v>
      </c>
      <c r="G118" s="186">
        <v>51</v>
      </c>
      <c r="H118" s="70">
        <f>ROUND(H117*G118,0)</f>
        <v>93311</v>
      </c>
      <c r="I118" s="186"/>
      <c r="J118" s="184"/>
      <c r="K118" s="11">
        <f t="shared" si="22"/>
        <v>93311</v>
      </c>
      <c r="L118" s="148"/>
      <c r="M118" s="149"/>
      <c r="N118" s="65">
        <f t="shared" si="23"/>
        <v>0</v>
      </c>
      <c r="O118" s="66">
        <f t="shared" si="24"/>
        <v>0</v>
      </c>
      <c r="P118" s="67">
        <f t="shared" si="25"/>
        <v>0</v>
      </c>
      <c r="Q118" s="68">
        <f t="shared" si="26"/>
        <v>0</v>
      </c>
      <c r="R118" s="299"/>
      <c r="S118" s="293"/>
      <c r="T118" s="293"/>
    </row>
    <row r="119" spans="1:20" x14ac:dyDescent="0.25">
      <c r="A119" s="59" t="s">
        <v>119</v>
      </c>
      <c r="B119" s="211" t="s">
        <v>178</v>
      </c>
      <c r="C119" s="218"/>
      <c r="D119" s="95" t="s">
        <v>201</v>
      </c>
      <c r="E119" s="61" t="s">
        <v>17</v>
      </c>
      <c r="F119" s="100" t="s">
        <v>18</v>
      </c>
      <c r="G119" s="74">
        <v>0.02</v>
      </c>
      <c r="H119" s="70">
        <f>G119*H117</f>
        <v>36.592400000000005</v>
      </c>
      <c r="I119" s="100"/>
      <c r="J119" s="185"/>
      <c r="K119" s="11">
        <f t="shared" si="22"/>
        <v>36.590000000000003</v>
      </c>
      <c r="L119" s="148"/>
      <c r="M119" s="149"/>
      <c r="N119" s="65">
        <f t="shared" si="23"/>
        <v>0</v>
      </c>
      <c r="O119" s="66">
        <f t="shared" si="24"/>
        <v>0</v>
      </c>
      <c r="P119" s="67">
        <f t="shared" si="25"/>
        <v>0</v>
      </c>
      <c r="Q119" s="68">
        <f t="shared" si="26"/>
        <v>0</v>
      </c>
      <c r="R119" s="167"/>
    </row>
    <row r="120" spans="1:20" ht="21" customHeight="1" x14ac:dyDescent="0.25">
      <c r="A120" s="59" t="s">
        <v>120</v>
      </c>
      <c r="B120" s="211" t="s">
        <v>178</v>
      </c>
      <c r="C120" s="218"/>
      <c r="D120" s="95" t="s">
        <v>206</v>
      </c>
      <c r="E120" s="61" t="s">
        <v>17</v>
      </c>
      <c r="F120" s="100" t="s">
        <v>20</v>
      </c>
      <c r="G120" s="74">
        <v>1.1000000000000001</v>
      </c>
      <c r="H120" s="70">
        <f>2.4/0.195*70.23*0.12*G120</f>
        <v>114.09673846153846</v>
      </c>
      <c r="I120" s="100"/>
      <c r="J120" s="185"/>
      <c r="K120" s="11">
        <f t="shared" si="22"/>
        <v>114.1</v>
      </c>
      <c r="L120" s="148"/>
      <c r="M120" s="149"/>
      <c r="N120" s="65">
        <f t="shared" si="23"/>
        <v>0</v>
      </c>
      <c r="O120" s="66">
        <f t="shared" si="24"/>
        <v>0</v>
      </c>
      <c r="P120" s="67">
        <f t="shared" si="25"/>
        <v>0</v>
      </c>
      <c r="Q120" s="68">
        <f t="shared" si="26"/>
        <v>0</v>
      </c>
      <c r="R120" s="298"/>
    </row>
    <row r="121" spans="1:20" s="290" customFormat="1" ht="20.25" customHeight="1" x14ac:dyDescent="0.25">
      <c r="A121" s="49" t="s">
        <v>269</v>
      </c>
      <c r="B121" s="210" t="s">
        <v>177</v>
      </c>
      <c r="C121" s="199" t="s">
        <v>165</v>
      </c>
      <c r="D121" s="98" t="s">
        <v>246</v>
      </c>
      <c r="E121" s="51" t="s">
        <v>17</v>
      </c>
      <c r="F121" s="52" t="s">
        <v>19</v>
      </c>
      <c r="G121" s="53">
        <v>1</v>
      </c>
      <c r="H121" s="94">
        <v>116</v>
      </c>
      <c r="I121" s="94"/>
      <c r="J121" s="93"/>
      <c r="K121" s="11">
        <f t="shared" si="22"/>
        <v>116</v>
      </c>
      <c r="L121" s="150"/>
      <c r="M121" s="151"/>
      <c r="N121" s="81">
        <f t="shared" si="23"/>
        <v>0</v>
      </c>
      <c r="O121" s="78">
        <f t="shared" si="24"/>
        <v>0</v>
      </c>
      <c r="P121" s="82">
        <f t="shared" si="25"/>
        <v>0</v>
      </c>
      <c r="Q121" s="58">
        <f t="shared" si="26"/>
        <v>0</v>
      </c>
      <c r="R121" s="297"/>
      <c r="S121" s="289"/>
      <c r="T121" s="289"/>
    </row>
    <row r="122" spans="1:20" s="103" customFormat="1" ht="20.25" customHeight="1" x14ac:dyDescent="0.25">
      <c r="A122" s="59" t="s">
        <v>270</v>
      </c>
      <c r="B122" s="211" t="s">
        <v>178</v>
      </c>
      <c r="C122" s="208"/>
      <c r="D122" s="257" t="s">
        <v>247</v>
      </c>
      <c r="E122" s="61" t="s">
        <v>17</v>
      </c>
      <c r="F122" s="62" t="s">
        <v>19</v>
      </c>
      <c r="G122" s="105">
        <v>1</v>
      </c>
      <c r="H122" s="308">
        <v>1</v>
      </c>
      <c r="I122" s="106"/>
      <c r="J122" s="63"/>
      <c r="K122" s="11">
        <f t="shared" si="22"/>
        <v>1</v>
      </c>
      <c r="L122" s="148"/>
      <c r="M122" s="156"/>
      <c r="N122" s="65">
        <f t="shared" si="23"/>
        <v>0</v>
      </c>
      <c r="O122" s="66">
        <f t="shared" si="24"/>
        <v>0</v>
      </c>
      <c r="P122" s="67">
        <f t="shared" si="25"/>
        <v>0</v>
      </c>
      <c r="Q122" s="68">
        <f t="shared" si="26"/>
        <v>0</v>
      </c>
      <c r="R122" s="296"/>
      <c r="S122" s="291"/>
      <c r="T122" s="291"/>
    </row>
    <row r="123" spans="1:20" s="103" customFormat="1" ht="20.25" customHeight="1" x14ac:dyDescent="0.25">
      <c r="A123" s="59" t="s">
        <v>271</v>
      </c>
      <c r="B123" s="211" t="s">
        <v>178</v>
      </c>
      <c r="C123" s="208"/>
      <c r="D123" s="257" t="s">
        <v>248</v>
      </c>
      <c r="E123" s="61" t="s">
        <v>17</v>
      </c>
      <c r="F123" s="62" t="s">
        <v>19</v>
      </c>
      <c r="G123" s="105">
        <v>1</v>
      </c>
      <c r="H123" s="308">
        <v>3</v>
      </c>
      <c r="I123" s="106"/>
      <c r="J123" s="63"/>
      <c r="K123" s="11">
        <f t="shared" si="22"/>
        <v>3</v>
      </c>
      <c r="L123" s="148"/>
      <c r="M123" s="156"/>
      <c r="N123" s="65">
        <f t="shared" si="23"/>
        <v>0</v>
      </c>
      <c r="O123" s="66">
        <f t="shared" si="24"/>
        <v>0</v>
      </c>
      <c r="P123" s="67">
        <f t="shared" si="25"/>
        <v>0</v>
      </c>
      <c r="Q123" s="68">
        <f t="shared" si="26"/>
        <v>0</v>
      </c>
      <c r="R123" s="296"/>
      <c r="S123" s="291"/>
      <c r="T123" s="291"/>
    </row>
    <row r="124" spans="1:20" s="103" customFormat="1" ht="20.25" customHeight="1" x14ac:dyDescent="0.25">
      <c r="A124" s="59" t="s">
        <v>272</v>
      </c>
      <c r="B124" s="211" t="s">
        <v>178</v>
      </c>
      <c r="C124" s="208"/>
      <c r="D124" s="257" t="s">
        <v>249</v>
      </c>
      <c r="E124" s="61" t="s">
        <v>17</v>
      </c>
      <c r="F124" s="62" t="s">
        <v>19</v>
      </c>
      <c r="G124" s="105">
        <v>1</v>
      </c>
      <c r="H124" s="308">
        <v>16</v>
      </c>
      <c r="I124" s="106"/>
      <c r="J124" s="63"/>
      <c r="K124" s="11">
        <f t="shared" si="22"/>
        <v>16</v>
      </c>
      <c r="L124" s="148"/>
      <c r="M124" s="156"/>
      <c r="N124" s="65">
        <f t="shared" si="23"/>
        <v>0</v>
      </c>
      <c r="O124" s="66">
        <f t="shared" si="24"/>
        <v>0</v>
      </c>
      <c r="P124" s="67">
        <f t="shared" si="25"/>
        <v>0</v>
      </c>
      <c r="Q124" s="68">
        <f t="shared" si="26"/>
        <v>0</v>
      </c>
      <c r="R124" s="296"/>
      <c r="S124" s="291"/>
      <c r="T124" s="291"/>
    </row>
    <row r="125" spans="1:20" s="103" customFormat="1" ht="20.25" customHeight="1" x14ac:dyDescent="0.25">
      <c r="A125" s="59" t="s">
        <v>273</v>
      </c>
      <c r="B125" s="211" t="s">
        <v>178</v>
      </c>
      <c r="C125" s="208"/>
      <c r="D125" s="257" t="s">
        <v>250</v>
      </c>
      <c r="E125" s="61" t="s">
        <v>17</v>
      </c>
      <c r="F125" s="62" t="s">
        <v>19</v>
      </c>
      <c r="G125" s="105">
        <v>1</v>
      </c>
      <c r="H125" s="308">
        <v>1</v>
      </c>
      <c r="I125" s="106"/>
      <c r="J125" s="63"/>
      <c r="K125" s="11">
        <f t="shared" si="22"/>
        <v>1</v>
      </c>
      <c r="L125" s="148"/>
      <c r="M125" s="156"/>
      <c r="N125" s="65">
        <f t="shared" si="23"/>
        <v>0</v>
      </c>
      <c r="O125" s="66">
        <f t="shared" si="24"/>
        <v>0</v>
      </c>
      <c r="P125" s="67">
        <f t="shared" si="25"/>
        <v>0</v>
      </c>
      <c r="Q125" s="68">
        <f t="shared" si="26"/>
        <v>0</v>
      </c>
      <c r="R125" s="296"/>
      <c r="S125" s="291"/>
      <c r="T125" s="291"/>
    </row>
    <row r="126" spans="1:20" s="103" customFormat="1" ht="20.25" customHeight="1" x14ac:dyDescent="0.25">
      <c r="A126" s="59" t="s">
        <v>360</v>
      </c>
      <c r="B126" s="211" t="s">
        <v>178</v>
      </c>
      <c r="C126" s="208"/>
      <c r="D126" s="257" t="s">
        <v>251</v>
      </c>
      <c r="E126" s="61" t="s">
        <v>17</v>
      </c>
      <c r="F126" s="62" t="s">
        <v>19</v>
      </c>
      <c r="G126" s="105">
        <v>1</v>
      </c>
      <c r="H126" s="308">
        <v>1</v>
      </c>
      <c r="I126" s="106"/>
      <c r="J126" s="63"/>
      <c r="K126" s="11">
        <f t="shared" si="22"/>
        <v>1</v>
      </c>
      <c r="L126" s="148"/>
      <c r="M126" s="156"/>
      <c r="N126" s="65">
        <f t="shared" si="23"/>
        <v>0</v>
      </c>
      <c r="O126" s="66">
        <f t="shared" si="24"/>
        <v>0</v>
      </c>
      <c r="P126" s="67">
        <f t="shared" si="25"/>
        <v>0</v>
      </c>
      <c r="Q126" s="68">
        <f t="shared" si="26"/>
        <v>0</v>
      </c>
      <c r="R126" s="296"/>
      <c r="S126" s="291"/>
      <c r="T126" s="291"/>
    </row>
    <row r="127" spans="1:20" s="103" customFormat="1" ht="20.25" customHeight="1" x14ac:dyDescent="0.25">
      <c r="A127" s="59" t="s">
        <v>361</v>
      </c>
      <c r="B127" s="211" t="s">
        <v>178</v>
      </c>
      <c r="C127" s="208"/>
      <c r="D127" s="257" t="s">
        <v>252</v>
      </c>
      <c r="E127" s="61" t="s">
        <v>17</v>
      </c>
      <c r="F127" s="62" t="s">
        <v>19</v>
      </c>
      <c r="G127" s="105">
        <v>1</v>
      </c>
      <c r="H127" s="308">
        <v>4</v>
      </c>
      <c r="I127" s="106"/>
      <c r="J127" s="63"/>
      <c r="K127" s="11">
        <f t="shared" si="22"/>
        <v>4</v>
      </c>
      <c r="L127" s="148"/>
      <c r="M127" s="156"/>
      <c r="N127" s="65">
        <f t="shared" si="23"/>
        <v>0</v>
      </c>
      <c r="O127" s="66">
        <f t="shared" si="24"/>
        <v>0</v>
      </c>
      <c r="P127" s="67">
        <f t="shared" si="25"/>
        <v>0</v>
      </c>
      <c r="Q127" s="68">
        <f t="shared" si="26"/>
        <v>0</v>
      </c>
      <c r="R127" s="296"/>
      <c r="S127" s="291"/>
      <c r="T127" s="291"/>
    </row>
    <row r="128" spans="1:20" s="103" customFormat="1" ht="20.25" customHeight="1" x14ac:dyDescent="0.25">
      <c r="A128" s="59" t="s">
        <v>362</v>
      </c>
      <c r="B128" s="211" t="s">
        <v>178</v>
      </c>
      <c r="C128" s="208"/>
      <c r="D128" s="257" t="s">
        <v>253</v>
      </c>
      <c r="E128" s="61" t="s">
        <v>17</v>
      </c>
      <c r="F128" s="62" t="s">
        <v>19</v>
      </c>
      <c r="G128" s="105">
        <v>1</v>
      </c>
      <c r="H128" s="308">
        <v>1</v>
      </c>
      <c r="I128" s="106"/>
      <c r="J128" s="63"/>
      <c r="K128" s="11">
        <f t="shared" si="22"/>
        <v>1</v>
      </c>
      <c r="L128" s="148"/>
      <c r="M128" s="156"/>
      <c r="N128" s="65">
        <f t="shared" si="23"/>
        <v>0</v>
      </c>
      <c r="O128" s="66">
        <f t="shared" si="24"/>
        <v>0</v>
      </c>
      <c r="P128" s="67">
        <f t="shared" si="25"/>
        <v>0</v>
      </c>
      <c r="Q128" s="68">
        <f t="shared" si="26"/>
        <v>0</v>
      </c>
      <c r="R128" s="296"/>
      <c r="S128" s="291"/>
      <c r="T128" s="291"/>
    </row>
    <row r="129" spans="1:20" s="103" customFormat="1" ht="20.25" customHeight="1" x14ac:dyDescent="0.25">
      <c r="A129" s="59" t="s">
        <v>363</v>
      </c>
      <c r="B129" s="211" t="s">
        <v>178</v>
      </c>
      <c r="C129" s="208"/>
      <c r="D129" s="257" t="s">
        <v>254</v>
      </c>
      <c r="E129" s="61" t="s">
        <v>17</v>
      </c>
      <c r="F129" s="62" t="s">
        <v>19</v>
      </c>
      <c r="G129" s="105">
        <v>1</v>
      </c>
      <c r="H129" s="308">
        <v>1</v>
      </c>
      <c r="I129" s="106"/>
      <c r="J129" s="63"/>
      <c r="K129" s="11">
        <f t="shared" si="22"/>
        <v>1</v>
      </c>
      <c r="L129" s="148"/>
      <c r="M129" s="156"/>
      <c r="N129" s="65">
        <f t="shared" si="23"/>
        <v>0</v>
      </c>
      <c r="O129" s="66">
        <f t="shared" si="24"/>
        <v>0</v>
      </c>
      <c r="P129" s="67">
        <f t="shared" si="25"/>
        <v>0</v>
      </c>
      <c r="Q129" s="68">
        <f t="shared" si="26"/>
        <v>0</v>
      </c>
      <c r="R129" s="296"/>
      <c r="S129" s="291"/>
      <c r="T129" s="291"/>
    </row>
    <row r="130" spans="1:20" s="103" customFormat="1" ht="20.25" customHeight="1" x14ac:dyDescent="0.25">
      <c r="A130" s="59" t="s">
        <v>364</v>
      </c>
      <c r="B130" s="211" t="s">
        <v>178</v>
      </c>
      <c r="C130" s="250"/>
      <c r="D130" s="257" t="s">
        <v>255</v>
      </c>
      <c r="E130" s="61" t="s">
        <v>17</v>
      </c>
      <c r="F130" s="62" t="s">
        <v>19</v>
      </c>
      <c r="G130" s="105">
        <v>1</v>
      </c>
      <c r="H130" s="308">
        <v>3</v>
      </c>
      <c r="I130" s="256"/>
      <c r="J130" s="252"/>
      <c r="K130" s="11">
        <f t="shared" si="22"/>
        <v>3</v>
      </c>
      <c r="L130" s="248"/>
      <c r="M130" s="249"/>
      <c r="N130" s="65">
        <f t="shared" si="23"/>
        <v>0</v>
      </c>
      <c r="O130" s="66">
        <f t="shared" si="24"/>
        <v>0</v>
      </c>
      <c r="P130" s="67">
        <f t="shared" si="25"/>
        <v>0</v>
      </c>
      <c r="Q130" s="68">
        <f t="shared" si="26"/>
        <v>0</v>
      </c>
      <c r="R130" s="305"/>
      <c r="S130" s="291"/>
      <c r="T130" s="291"/>
    </row>
    <row r="131" spans="1:20" s="103" customFormat="1" ht="20.25" customHeight="1" x14ac:dyDescent="0.25">
      <c r="A131" s="59" t="s">
        <v>365</v>
      </c>
      <c r="B131" s="211" t="s">
        <v>178</v>
      </c>
      <c r="C131" s="250"/>
      <c r="D131" s="263" t="s">
        <v>256</v>
      </c>
      <c r="E131" s="61" t="s">
        <v>17</v>
      </c>
      <c r="F131" s="62" t="s">
        <v>19</v>
      </c>
      <c r="G131" s="105">
        <v>1</v>
      </c>
      <c r="H131" s="308">
        <v>1</v>
      </c>
      <c r="I131" s="256"/>
      <c r="J131" s="252"/>
      <c r="K131" s="11">
        <f t="shared" si="22"/>
        <v>1</v>
      </c>
      <c r="L131" s="248"/>
      <c r="M131" s="249"/>
      <c r="N131" s="65">
        <f t="shared" si="23"/>
        <v>0</v>
      </c>
      <c r="O131" s="66">
        <f t="shared" si="24"/>
        <v>0</v>
      </c>
      <c r="P131" s="67">
        <f t="shared" si="25"/>
        <v>0</v>
      </c>
      <c r="Q131" s="68">
        <f t="shared" si="26"/>
        <v>0</v>
      </c>
      <c r="R131" s="305"/>
      <c r="S131" s="291"/>
      <c r="T131" s="291"/>
    </row>
    <row r="132" spans="1:20" s="103" customFormat="1" ht="20.25" customHeight="1" x14ac:dyDescent="0.25">
      <c r="A132" s="59" t="s">
        <v>366</v>
      </c>
      <c r="B132" s="211" t="s">
        <v>178</v>
      </c>
      <c r="C132" s="250"/>
      <c r="D132" s="263" t="s">
        <v>257</v>
      </c>
      <c r="E132" s="61" t="s">
        <v>17</v>
      </c>
      <c r="F132" s="62" t="s">
        <v>19</v>
      </c>
      <c r="G132" s="105">
        <v>1</v>
      </c>
      <c r="H132" s="308">
        <v>1</v>
      </c>
      <c r="I132" s="256"/>
      <c r="J132" s="252"/>
      <c r="K132" s="11">
        <f t="shared" si="22"/>
        <v>1</v>
      </c>
      <c r="L132" s="248"/>
      <c r="M132" s="249"/>
      <c r="N132" s="65">
        <f t="shared" si="23"/>
        <v>0</v>
      </c>
      <c r="O132" s="66">
        <f t="shared" si="24"/>
        <v>0</v>
      </c>
      <c r="P132" s="67">
        <f t="shared" si="25"/>
        <v>0</v>
      </c>
      <c r="Q132" s="68">
        <f t="shared" si="26"/>
        <v>0</v>
      </c>
      <c r="R132" s="305"/>
      <c r="S132" s="291"/>
      <c r="T132" s="291"/>
    </row>
    <row r="133" spans="1:20" s="103" customFormat="1" ht="20.25" customHeight="1" x14ac:dyDescent="0.25">
      <c r="A133" s="59" t="s">
        <v>367</v>
      </c>
      <c r="B133" s="211" t="s">
        <v>178</v>
      </c>
      <c r="C133" s="250"/>
      <c r="D133" s="263" t="s">
        <v>258</v>
      </c>
      <c r="E133" s="61" t="s">
        <v>17</v>
      </c>
      <c r="F133" s="62" t="s">
        <v>19</v>
      </c>
      <c r="G133" s="105">
        <v>1</v>
      </c>
      <c r="H133" s="308">
        <v>1</v>
      </c>
      <c r="I133" s="256"/>
      <c r="J133" s="252"/>
      <c r="K133" s="11">
        <f t="shared" si="22"/>
        <v>1</v>
      </c>
      <c r="L133" s="248"/>
      <c r="M133" s="249"/>
      <c r="N133" s="65">
        <f t="shared" si="23"/>
        <v>0</v>
      </c>
      <c r="O133" s="66">
        <f t="shared" si="24"/>
        <v>0</v>
      </c>
      <c r="P133" s="67">
        <f t="shared" si="25"/>
        <v>0</v>
      </c>
      <c r="Q133" s="68">
        <f t="shared" si="26"/>
        <v>0</v>
      </c>
      <c r="R133" s="305"/>
      <c r="S133" s="291"/>
      <c r="T133" s="291"/>
    </row>
    <row r="134" spans="1:20" s="103" customFormat="1" ht="20.25" customHeight="1" x14ac:dyDescent="0.25">
      <c r="A134" s="59" t="s">
        <v>368</v>
      </c>
      <c r="B134" s="211" t="s">
        <v>178</v>
      </c>
      <c r="C134" s="250"/>
      <c r="D134" s="263" t="s">
        <v>258</v>
      </c>
      <c r="E134" s="61" t="s">
        <v>17</v>
      </c>
      <c r="F134" s="62" t="s">
        <v>19</v>
      </c>
      <c r="G134" s="105">
        <v>1</v>
      </c>
      <c r="H134" s="308">
        <v>13</v>
      </c>
      <c r="I134" s="256"/>
      <c r="J134" s="252"/>
      <c r="K134" s="11">
        <f t="shared" si="22"/>
        <v>13</v>
      </c>
      <c r="L134" s="248"/>
      <c r="M134" s="249"/>
      <c r="N134" s="65">
        <f t="shared" si="23"/>
        <v>0</v>
      </c>
      <c r="O134" s="66">
        <f t="shared" si="24"/>
        <v>0</v>
      </c>
      <c r="P134" s="67">
        <f t="shared" si="25"/>
        <v>0</v>
      </c>
      <c r="Q134" s="68">
        <f t="shared" si="26"/>
        <v>0</v>
      </c>
      <c r="R134" s="305"/>
      <c r="S134" s="291"/>
      <c r="T134" s="291"/>
    </row>
    <row r="135" spans="1:20" s="103" customFormat="1" ht="20.25" customHeight="1" x14ac:dyDescent="0.25">
      <c r="A135" s="59" t="s">
        <v>369</v>
      </c>
      <c r="B135" s="211" t="s">
        <v>178</v>
      </c>
      <c r="C135" s="250"/>
      <c r="D135" s="263" t="s">
        <v>259</v>
      </c>
      <c r="E135" s="61" t="s">
        <v>17</v>
      </c>
      <c r="F135" s="62" t="s">
        <v>19</v>
      </c>
      <c r="G135" s="105">
        <v>1</v>
      </c>
      <c r="H135" s="308">
        <v>3</v>
      </c>
      <c r="I135" s="256"/>
      <c r="J135" s="252"/>
      <c r="K135" s="11">
        <f t="shared" si="22"/>
        <v>3</v>
      </c>
      <c r="L135" s="248"/>
      <c r="M135" s="249"/>
      <c r="N135" s="65">
        <f t="shared" si="23"/>
        <v>0</v>
      </c>
      <c r="O135" s="66">
        <f t="shared" si="24"/>
        <v>0</v>
      </c>
      <c r="P135" s="67">
        <f t="shared" si="25"/>
        <v>0</v>
      </c>
      <c r="Q135" s="68">
        <f t="shared" si="26"/>
        <v>0</v>
      </c>
      <c r="R135" s="305"/>
      <c r="S135" s="291"/>
      <c r="T135" s="291"/>
    </row>
    <row r="136" spans="1:20" s="103" customFormat="1" ht="20.25" customHeight="1" x14ac:dyDescent="0.25">
      <c r="A136" s="59" t="s">
        <v>370</v>
      </c>
      <c r="B136" s="211" t="s">
        <v>178</v>
      </c>
      <c r="C136" s="250"/>
      <c r="D136" s="263" t="s">
        <v>260</v>
      </c>
      <c r="E136" s="61" t="s">
        <v>17</v>
      </c>
      <c r="F136" s="62" t="s">
        <v>19</v>
      </c>
      <c r="G136" s="105">
        <v>1</v>
      </c>
      <c r="H136" s="308">
        <v>1</v>
      </c>
      <c r="I136" s="256"/>
      <c r="J136" s="252"/>
      <c r="K136" s="11">
        <f t="shared" si="22"/>
        <v>1</v>
      </c>
      <c r="L136" s="248"/>
      <c r="M136" s="249"/>
      <c r="N136" s="65">
        <f t="shared" si="23"/>
        <v>0</v>
      </c>
      <c r="O136" s="66">
        <f t="shared" si="24"/>
        <v>0</v>
      </c>
      <c r="P136" s="67">
        <f t="shared" si="25"/>
        <v>0</v>
      </c>
      <c r="Q136" s="68">
        <f t="shared" si="26"/>
        <v>0</v>
      </c>
      <c r="R136" s="305"/>
      <c r="S136" s="291"/>
      <c r="T136" s="291"/>
    </row>
    <row r="137" spans="1:20" s="103" customFormat="1" ht="20.25" customHeight="1" x14ac:dyDescent="0.25">
      <c r="A137" s="59" t="s">
        <v>371</v>
      </c>
      <c r="B137" s="211" t="s">
        <v>178</v>
      </c>
      <c r="C137" s="250"/>
      <c r="D137" s="263" t="s">
        <v>261</v>
      </c>
      <c r="E137" s="61" t="s">
        <v>17</v>
      </c>
      <c r="F137" s="62" t="s">
        <v>19</v>
      </c>
      <c r="G137" s="105">
        <v>1</v>
      </c>
      <c r="H137" s="308">
        <v>1</v>
      </c>
      <c r="I137" s="256"/>
      <c r="J137" s="252"/>
      <c r="K137" s="11">
        <f t="shared" si="22"/>
        <v>1</v>
      </c>
      <c r="L137" s="248"/>
      <c r="M137" s="249"/>
      <c r="N137" s="65">
        <f t="shared" si="23"/>
        <v>0</v>
      </c>
      <c r="O137" s="66">
        <f t="shared" si="24"/>
        <v>0</v>
      </c>
      <c r="P137" s="67">
        <f t="shared" si="25"/>
        <v>0</v>
      </c>
      <c r="Q137" s="68">
        <f t="shared" si="26"/>
        <v>0</v>
      </c>
      <c r="R137" s="305"/>
      <c r="S137" s="291"/>
      <c r="T137" s="291"/>
    </row>
    <row r="138" spans="1:20" s="103" customFormat="1" ht="20.25" customHeight="1" x14ac:dyDescent="0.25">
      <c r="A138" s="59" t="s">
        <v>372</v>
      </c>
      <c r="B138" s="211" t="s">
        <v>178</v>
      </c>
      <c r="C138" s="250"/>
      <c r="D138" s="257" t="s">
        <v>262</v>
      </c>
      <c r="E138" s="61" t="s">
        <v>17</v>
      </c>
      <c r="F138" s="62" t="s">
        <v>19</v>
      </c>
      <c r="G138" s="105">
        <v>1</v>
      </c>
      <c r="H138" s="308">
        <v>1</v>
      </c>
      <c r="I138" s="256"/>
      <c r="J138" s="252"/>
      <c r="K138" s="11">
        <f t="shared" si="22"/>
        <v>1</v>
      </c>
      <c r="L138" s="248"/>
      <c r="M138" s="249"/>
      <c r="N138" s="65">
        <f t="shared" si="23"/>
        <v>0</v>
      </c>
      <c r="O138" s="66">
        <f t="shared" si="24"/>
        <v>0</v>
      </c>
      <c r="P138" s="67">
        <f t="shared" si="25"/>
        <v>0</v>
      </c>
      <c r="Q138" s="68">
        <f t="shared" si="26"/>
        <v>0</v>
      </c>
      <c r="R138" s="305"/>
      <c r="S138" s="291"/>
      <c r="T138" s="291"/>
    </row>
    <row r="139" spans="1:20" s="103" customFormat="1" ht="20.25" customHeight="1" x14ac:dyDescent="0.25">
      <c r="A139" s="59" t="s">
        <v>373</v>
      </c>
      <c r="B139" s="211" t="s">
        <v>178</v>
      </c>
      <c r="C139" s="250"/>
      <c r="D139" s="257" t="s">
        <v>263</v>
      </c>
      <c r="E139" s="61" t="s">
        <v>17</v>
      </c>
      <c r="F139" s="62" t="s">
        <v>19</v>
      </c>
      <c r="G139" s="105">
        <v>1</v>
      </c>
      <c r="H139" s="308">
        <v>1</v>
      </c>
      <c r="I139" s="256"/>
      <c r="J139" s="252"/>
      <c r="K139" s="11">
        <f t="shared" si="22"/>
        <v>1</v>
      </c>
      <c r="L139" s="248"/>
      <c r="M139" s="249"/>
      <c r="N139" s="65">
        <f t="shared" si="23"/>
        <v>0</v>
      </c>
      <c r="O139" s="66">
        <f t="shared" si="24"/>
        <v>0</v>
      </c>
      <c r="P139" s="67">
        <f t="shared" si="25"/>
        <v>0</v>
      </c>
      <c r="Q139" s="68">
        <f t="shared" si="26"/>
        <v>0</v>
      </c>
      <c r="R139" s="305"/>
      <c r="S139" s="291"/>
      <c r="T139" s="291"/>
    </row>
    <row r="140" spans="1:20" s="103" customFormat="1" ht="20.25" customHeight="1" x14ac:dyDescent="0.25">
      <c r="A140" s="59" t="s">
        <v>374</v>
      </c>
      <c r="B140" s="211" t="s">
        <v>178</v>
      </c>
      <c r="C140" s="250"/>
      <c r="D140" s="257" t="s">
        <v>264</v>
      </c>
      <c r="E140" s="61" t="s">
        <v>17</v>
      </c>
      <c r="F140" s="62" t="s">
        <v>19</v>
      </c>
      <c r="G140" s="105">
        <v>1</v>
      </c>
      <c r="H140" s="308">
        <v>4</v>
      </c>
      <c r="I140" s="256"/>
      <c r="J140" s="252"/>
      <c r="K140" s="11">
        <f t="shared" si="22"/>
        <v>4</v>
      </c>
      <c r="L140" s="248"/>
      <c r="M140" s="249"/>
      <c r="N140" s="65">
        <f t="shared" si="23"/>
        <v>0</v>
      </c>
      <c r="O140" s="66">
        <f t="shared" si="24"/>
        <v>0</v>
      </c>
      <c r="P140" s="67">
        <f t="shared" si="25"/>
        <v>0</v>
      </c>
      <c r="Q140" s="68">
        <f t="shared" si="26"/>
        <v>0</v>
      </c>
      <c r="R140" s="305"/>
      <c r="S140" s="291"/>
      <c r="T140" s="291"/>
    </row>
    <row r="141" spans="1:20" s="103" customFormat="1" ht="20.25" customHeight="1" x14ac:dyDescent="0.25">
      <c r="A141" s="59" t="s">
        <v>375</v>
      </c>
      <c r="B141" s="211" t="s">
        <v>178</v>
      </c>
      <c r="C141" s="250"/>
      <c r="D141" s="257" t="s">
        <v>265</v>
      </c>
      <c r="E141" s="61" t="s">
        <v>17</v>
      </c>
      <c r="F141" s="62" t="s">
        <v>19</v>
      </c>
      <c r="G141" s="105">
        <v>1</v>
      </c>
      <c r="H141" s="308">
        <v>1</v>
      </c>
      <c r="I141" s="256"/>
      <c r="J141" s="252"/>
      <c r="K141" s="11">
        <f t="shared" si="22"/>
        <v>1</v>
      </c>
      <c r="L141" s="248"/>
      <c r="M141" s="249"/>
      <c r="N141" s="65">
        <f t="shared" si="23"/>
        <v>0</v>
      </c>
      <c r="O141" s="66">
        <f t="shared" si="24"/>
        <v>0</v>
      </c>
      <c r="P141" s="67">
        <f t="shared" si="25"/>
        <v>0</v>
      </c>
      <c r="Q141" s="68">
        <f t="shared" si="26"/>
        <v>0</v>
      </c>
      <c r="R141" s="305"/>
      <c r="S141" s="291"/>
      <c r="T141" s="291"/>
    </row>
    <row r="142" spans="1:20" s="103" customFormat="1" ht="20.25" customHeight="1" x14ac:dyDescent="0.25">
      <c r="A142" s="59" t="s">
        <v>376</v>
      </c>
      <c r="B142" s="211" t="s">
        <v>178</v>
      </c>
      <c r="C142" s="250"/>
      <c r="D142" s="257" t="s">
        <v>266</v>
      </c>
      <c r="E142" s="61" t="s">
        <v>17</v>
      </c>
      <c r="F142" s="62" t="s">
        <v>19</v>
      </c>
      <c r="G142" s="105">
        <v>1</v>
      </c>
      <c r="H142" s="308">
        <v>1</v>
      </c>
      <c r="I142" s="256"/>
      <c r="J142" s="252"/>
      <c r="K142" s="11">
        <f t="shared" si="22"/>
        <v>1</v>
      </c>
      <c r="L142" s="248"/>
      <c r="M142" s="249"/>
      <c r="N142" s="65">
        <f t="shared" si="23"/>
        <v>0</v>
      </c>
      <c r="O142" s="66">
        <f t="shared" si="24"/>
        <v>0</v>
      </c>
      <c r="P142" s="67">
        <f t="shared" si="25"/>
        <v>0</v>
      </c>
      <c r="Q142" s="68">
        <f t="shared" si="26"/>
        <v>0</v>
      </c>
      <c r="R142" s="305"/>
      <c r="S142" s="291"/>
      <c r="T142" s="291"/>
    </row>
    <row r="143" spans="1:20" s="103" customFormat="1" ht="20.25" customHeight="1" x14ac:dyDescent="0.25">
      <c r="A143" s="59" t="s">
        <v>377</v>
      </c>
      <c r="B143" s="211" t="s">
        <v>178</v>
      </c>
      <c r="C143" s="250"/>
      <c r="D143" s="263" t="s">
        <v>267</v>
      </c>
      <c r="E143" s="61" t="s">
        <v>17</v>
      </c>
      <c r="F143" s="62" t="s">
        <v>19</v>
      </c>
      <c r="G143" s="105">
        <v>1</v>
      </c>
      <c r="H143" s="308">
        <v>1</v>
      </c>
      <c r="I143" s="256"/>
      <c r="J143" s="252"/>
      <c r="K143" s="11">
        <f t="shared" si="22"/>
        <v>1</v>
      </c>
      <c r="L143" s="248"/>
      <c r="M143" s="249"/>
      <c r="N143" s="65">
        <f t="shared" si="23"/>
        <v>0</v>
      </c>
      <c r="O143" s="66">
        <f t="shared" si="24"/>
        <v>0</v>
      </c>
      <c r="P143" s="67">
        <f t="shared" si="25"/>
        <v>0</v>
      </c>
      <c r="Q143" s="68">
        <f t="shared" si="26"/>
        <v>0</v>
      </c>
      <c r="R143" s="305"/>
      <c r="S143" s="291"/>
      <c r="T143" s="291"/>
    </row>
    <row r="144" spans="1:20" s="243" customFormat="1" ht="20.25" customHeight="1" x14ac:dyDescent="0.25">
      <c r="A144" s="59" t="s">
        <v>378</v>
      </c>
      <c r="B144" s="211" t="s">
        <v>178</v>
      </c>
      <c r="C144" s="250"/>
      <c r="D144" s="500" t="s">
        <v>244</v>
      </c>
      <c r="E144" s="61" t="s">
        <v>17</v>
      </c>
      <c r="F144" s="251" t="s">
        <v>21</v>
      </c>
      <c r="G144" s="255">
        <v>1.04</v>
      </c>
      <c r="H144" s="256">
        <f>1.187*G144</f>
        <v>1.23448</v>
      </c>
      <c r="I144" s="256"/>
      <c r="J144" s="252"/>
      <c r="K144" s="11">
        <f>ROUND(H144+I144+J144,3)</f>
        <v>1.234</v>
      </c>
      <c r="L144" s="248"/>
      <c r="M144" s="277"/>
      <c r="N144" s="229">
        <f t="shared" si="23"/>
        <v>0</v>
      </c>
      <c r="O144" s="230">
        <f t="shared" si="24"/>
        <v>0</v>
      </c>
      <c r="P144" s="231">
        <f t="shared" si="25"/>
        <v>0</v>
      </c>
      <c r="Q144" s="232">
        <f t="shared" si="26"/>
        <v>0</v>
      </c>
      <c r="R144" s="315"/>
      <c r="S144" s="306"/>
      <c r="T144" s="306"/>
    </row>
    <row r="145" spans="1:20" s="243" customFormat="1" ht="20.25" customHeight="1" x14ac:dyDescent="0.25">
      <c r="A145" s="59" t="s">
        <v>379</v>
      </c>
      <c r="B145" s="211" t="s">
        <v>178</v>
      </c>
      <c r="C145" s="250"/>
      <c r="D145" s="500" t="s">
        <v>245</v>
      </c>
      <c r="E145" s="61" t="s">
        <v>17</v>
      </c>
      <c r="F145" s="251" t="s">
        <v>18</v>
      </c>
      <c r="G145" s="255">
        <v>1</v>
      </c>
      <c r="H145" s="256">
        <f>0.1244*G145</f>
        <v>0.1244</v>
      </c>
      <c r="I145" s="256"/>
      <c r="J145" s="252"/>
      <c r="K145" s="11">
        <f t="shared" ref="K145:K197" si="35">ROUND(H145+I145+J145,3)</f>
        <v>0.124</v>
      </c>
      <c r="L145" s="248"/>
      <c r="M145" s="277"/>
      <c r="N145" s="229">
        <f t="shared" si="23"/>
        <v>0</v>
      </c>
      <c r="O145" s="230">
        <f t="shared" si="24"/>
        <v>0</v>
      </c>
      <c r="P145" s="231">
        <f t="shared" si="25"/>
        <v>0</v>
      </c>
      <c r="Q145" s="232">
        <f t="shared" si="26"/>
        <v>0</v>
      </c>
      <c r="R145" s="315"/>
      <c r="S145" s="306"/>
      <c r="T145" s="306"/>
    </row>
    <row r="146" spans="1:20" s="243" customFormat="1" ht="20.25" customHeight="1" x14ac:dyDescent="0.25">
      <c r="A146" s="59" t="s">
        <v>380</v>
      </c>
      <c r="B146" s="211" t="s">
        <v>178</v>
      </c>
      <c r="C146" s="250"/>
      <c r="D146" s="95" t="s">
        <v>65</v>
      </c>
      <c r="E146" s="61" t="s">
        <v>17</v>
      </c>
      <c r="F146" s="251" t="s">
        <v>21</v>
      </c>
      <c r="G146" s="255">
        <v>1.04</v>
      </c>
      <c r="H146" s="256">
        <f>0.111*G146</f>
        <v>0.11544</v>
      </c>
      <c r="I146" s="256"/>
      <c r="J146" s="252"/>
      <c r="K146" s="11">
        <f t="shared" si="35"/>
        <v>0.115</v>
      </c>
      <c r="L146" s="248"/>
      <c r="M146" s="277"/>
      <c r="N146" s="229">
        <f t="shared" si="23"/>
        <v>0</v>
      </c>
      <c r="O146" s="230">
        <f t="shared" si="24"/>
        <v>0</v>
      </c>
      <c r="P146" s="231">
        <f t="shared" si="25"/>
        <v>0</v>
      </c>
      <c r="Q146" s="232">
        <f t="shared" si="26"/>
        <v>0</v>
      </c>
      <c r="R146" s="315"/>
      <c r="S146" s="306"/>
      <c r="T146" s="306"/>
    </row>
    <row r="147" spans="1:20" s="243" customFormat="1" ht="20.25" customHeight="1" x14ac:dyDescent="0.25">
      <c r="A147" s="59" t="s">
        <v>381</v>
      </c>
      <c r="B147" s="211" t="s">
        <v>178</v>
      </c>
      <c r="C147" s="250"/>
      <c r="D147" s="487" t="s">
        <v>409</v>
      </c>
      <c r="E147" s="61" t="s">
        <v>17</v>
      </c>
      <c r="F147" s="251" t="s">
        <v>19</v>
      </c>
      <c r="G147" s="255">
        <v>1</v>
      </c>
      <c r="H147" s="256">
        <v>64</v>
      </c>
      <c r="I147" s="256"/>
      <c r="J147" s="252"/>
      <c r="K147" s="11">
        <f t="shared" si="35"/>
        <v>64</v>
      </c>
      <c r="L147" s="248"/>
      <c r="M147" s="277"/>
      <c r="N147" s="229">
        <f t="shared" si="23"/>
        <v>0</v>
      </c>
      <c r="O147" s="230">
        <f t="shared" si="24"/>
        <v>0</v>
      </c>
      <c r="P147" s="231">
        <f t="shared" si="25"/>
        <v>0</v>
      </c>
      <c r="Q147" s="232">
        <f t="shared" si="26"/>
        <v>0</v>
      </c>
      <c r="R147" s="315"/>
      <c r="S147" s="306"/>
      <c r="T147" s="306"/>
    </row>
    <row r="148" spans="1:20" s="290" customFormat="1" ht="20.25" customHeight="1" x14ac:dyDescent="0.25">
      <c r="A148" s="49" t="s">
        <v>279</v>
      </c>
      <c r="B148" s="210" t="s">
        <v>177</v>
      </c>
      <c r="C148" s="199" t="s">
        <v>165</v>
      </c>
      <c r="D148" s="98" t="s">
        <v>268</v>
      </c>
      <c r="E148" s="51" t="s">
        <v>17</v>
      </c>
      <c r="F148" s="52" t="s">
        <v>19</v>
      </c>
      <c r="G148" s="53">
        <v>1</v>
      </c>
      <c r="H148" s="94">
        <f>135*7</f>
        <v>945</v>
      </c>
      <c r="I148" s="94"/>
      <c r="J148" s="93"/>
      <c r="K148" s="11">
        <f t="shared" si="35"/>
        <v>945</v>
      </c>
      <c r="L148" s="150"/>
      <c r="M148" s="151"/>
      <c r="N148" s="81">
        <f t="shared" si="23"/>
        <v>0</v>
      </c>
      <c r="O148" s="78">
        <f t="shared" si="24"/>
        <v>0</v>
      </c>
      <c r="P148" s="82">
        <f t="shared" si="25"/>
        <v>0</v>
      </c>
      <c r="Q148" s="58">
        <f t="shared" si="26"/>
        <v>0</v>
      </c>
      <c r="R148" s="297"/>
      <c r="S148" s="289"/>
      <c r="T148" s="289"/>
    </row>
    <row r="149" spans="1:20" s="103" customFormat="1" ht="20.25" customHeight="1" x14ac:dyDescent="0.25">
      <c r="A149" s="59" t="s">
        <v>280</v>
      </c>
      <c r="B149" s="211" t="s">
        <v>178</v>
      </c>
      <c r="C149" s="250"/>
      <c r="D149" s="320" t="s">
        <v>247</v>
      </c>
      <c r="E149" s="61" t="s">
        <v>17</v>
      </c>
      <c r="F149" s="62" t="s">
        <v>19</v>
      </c>
      <c r="G149" s="105">
        <v>1</v>
      </c>
      <c r="H149" s="256">
        <v>112</v>
      </c>
      <c r="I149" s="256"/>
      <c r="J149" s="252"/>
      <c r="K149" s="11">
        <f t="shared" si="35"/>
        <v>112</v>
      </c>
      <c r="L149" s="148"/>
      <c r="M149" s="156"/>
      <c r="N149" s="65">
        <f t="shared" si="23"/>
        <v>0</v>
      </c>
      <c r="O149" s="188">
        <f t="shared" si="24"/>
        <v>0</v>
      </c>
      <c r="P149" s="67">
        <f t="shared" si="25"/>
        <v>0</v>
      </c>
      <c r="Q149" s="68">
        <f t="shared" si="26"/>
        <v>0</v>
      </c>
      <c r="R149" s="305"/>
      <c r="S149" s="291"/>
      <c r="T149" s="291"/>
    </row>
    <row r="150" spans="1:20" s="103" customFormat="1" ht="20.25" customHeight="1" x14ac:dyDescent="0.25">
      <c r="A150" s="59" t="s">
        <v>281</v>
      </c>
      <c r="B150" s="211" t="s">
        <v>178</v>
      </c>
      <c r="C150" s="250"/>
      <c r="D150" s="320" t="s">
        <v>248</v>
      </c>
      <c r="E150" s="61" t="s">
        <v>17</v>
      </c>
      <c r="F150" s="62" t="s">
        <v>19</v>
      </c>
      <c r="G150" s="105">
        <v>1</v>
      </c>
      <c r="H150" s="256">
        <v>21</v>
      </c>
      <c r="I150" s="256"/>
      <c r="J150" s="252"/>
      <c r="K150" s="11">
        <f t="shared" si="35"/>
        <v>21</v>
      </c>
      <c r="L150" s="148"/>
      <c r="M150" s="156"/>
      <c r="N150" s="65">
        <f t="shared" si="23"/>
        <v>0</v>
      </c>
      <c r="O150" s="188">
        <f t="shared" si="24"/>
        <v>0</v>
      </c>
      <c r="P150" s="67">
        <f t="shared" si="25"/>
        <v>0</v>
      </c>
      <c r="Q150" s="68">
        <f t="shared" si="26"/>
        <v>0</v>
      </c>
      <c r="R150" s="305"/>
      <c r="S150" s="291"/>
      <c r="T150" s="291"/>
    </row>
    <row r="151" spans="1:20" s="103" customFormat="1" ht="20.25" customHeight="1" x14ac:dyDescent="0.25">
      <c r="A151" s="59" t="s">
        <v>282</v>
      </c>
      <c r="B151" s="211" t="s">
        <v>178</v>
      </c>
      <c r="C151" s="250"/>
      <c r="D151" s="263" t="s">
        <v>274</v>
      </c>
      <c r="E151" s="61" t="s">
        <v>17</v>
      </c>
      <c r="F151" s="62" t="s">
        <v>19</v>
      </c>
      <c r="G151" s="105">
        <v>1</v>
      </c>
      <c r="H151" s="256">
        <v>14</v>
      </c>
      <c r="I151" s="256"/>
      <c r="J151" s="252"/>
      <c r="K151" s="11">
        <f t="shared" si="35"/>
        <v>14</v>
      </c>
      <c r="L151" s="148"/>
      <c r="M151" s="156"/>
      <c r="N151" s="65">
        <f t="shared" si="23"/>
        <v>0</v>
      </c>
      <c r="O151" s="188">
        <f t="shared" si="24"/>
        <v>0</v>
      </c>
      <c r="P151" s="67">
        <f t="shared" si="25"/>
        <v>0</v>
      </c>
      <c r="Q151" s="68">
        <f t="shared" si="26"/>
        <v>0</v>
      </c>
      <c r="R151" s="305"/>
      <c r="S151" s="291"/>
      <c r="T151" s="291"/>
    </row>
    <row r="152" spans="1:20" s="103" customFormat="1" ht="20.25" customHeight="1" x14ac:dyDescent="0.25">
      <c r="A152" s="59" t="s">
        <v>283</v>
      </c>
      <c r="B152" s="211" t="s">
        <v>178</v>
      </c>
      <c r="C152" s="250"/>
      <c r="D152" s="263" t="s">
        <v>275</v>
      </c>
      <c r="E152" s="61" t="s">
        <v>17</v>
      </c>
      <c r="F152" s="62" t="s">
        <v>19</v>
      </c>
      <c r="G152" s="105">
        <v>1</v>
      </c>
      <c r="H152" s="256">
        <v>105</v>
      </c>
      <c r="I152" s="256"/>
      <c r="J152" s="252"/>
      <c r="K152" s="11">
        <f t="shared" si="35"/>
        <v>105</v>
      </c>
      <c r="L152" s="148"/>
      <c r="M152" s="156"/>
      <c r="N152" s="65">
        <f t="shared" si="23"/>
        <v>0</v>
      </c>
      <c r="O152" s="188">
        <f t="shared" si="24"/>
        <v>0</v>
      </c>
      <c r="P152" s="67">
        <f t="shared" si="25"/>
        <v>0</v>
      </c>
      <c r="Q152" s="68">
        <f t="shared" si="26"/>
        <v>0</v>
      </c>
      <c r="R152" s="305"/>
      <c r="S152" s="291"/>
      <c r="T152" s="291"/>
    </row>
    <row r="153" spans="1:20" s="103" customFormat="1" ht="20.25" customHeight="1" x14ac:dyDescent="0.25">
      <c r="A153" s="59" t="s">
        <v>284</v>
      </c>
      <c r="B153" s="211" t="s">
        <v>178</v>
      </c>
      <c r="C153" s="250"/>
      <c r="D153" s="263" t="s">
        <v>250</v>
      </c>
      <c r="E153" s="61" t="s">
        <v>17</v>
      </c>
      <c r="F153" s="62" t="s">
        <v>19</v>
      </c>
      <c r="G153" s="105">
        <v>1</v>
      </c>
      <c r="H153" s="256">
        <v>7</v>
      </c>
      <c r="I153" s="256"/>
      <c r="J153" s="252"/>
      <c r="K153" s="11">
        <f t="shared" si="35"/>
        <v>7</v>
      </c>
      <c r="L153" s="148"/>
      <c r="M153" s="156"/>
      <c r="N153" s="65">
        <f t="shared" si="23"/>
        <v>0</v>
      </c>
      <c r="O153" s="188">
        <f t="shared" si="24"/>
        <v>0</v>
      </c>
      <c r="P153" s="67">
        <f t="shared" si="25"/>
        <v>0</v>
      </c>
      <c r="Q153" s="68">
        <f t="shared" si="26"/>
        <v>0</v>
      </c>
      <c r="R153" s="305"/>
      <c r="S153" s="291"/>
      <c r="T153" s="291"/>
    </row>
    <row r="154" spans="1:20" s="103" customFormat="1" ht="20.25" customHeight="1" x14ac:dyDescent="0.25">
      <c r="A154" s="59" t="s">
        <v>285</v>
      </c>
      <c r="B154" s="211" t="s">
        <v>178</v>
      </c>
      <c r="C154" s="250"/>
      <c r="D154" s="263" t="s">
        <v>252</v>
      </c>
      <c r="E154" s="61" t="s">
        <v>17</v>
      </c>
      <c r="F154" s="62" t="s">
        <v>19</v>
      </c>
      <c r="G154" s="105">
        <v>1</v>
      </c>
      <c r="H154" s="256">
        <v>49</v>
      </c>
      <c r="I154" s="256"/>
      <c r="J154" s="252"/>
      <c r="K154" s="11">
        <f t="shared" si="35"/>
        <v>49</v>
      </c>
      <c r="L154" s="148"/>
      <c r="M154" s="156"/>
      <c r="N154" s="65">
        <f t="shared" si="23"/>
        <v>0</v>
      </c>
      <c r="O154" s="188">
        <f t="shared" si="24"/>
        <v>0</v>
      </c>
      <c r="P154" s="67">
        <f t="shared" si="25"/>
        <v>0</v>
      </c>
      <c r="Q154" s="68">
        <f t="shared" si="26"/>
        <v>0</v>
      </c>
      <c r="R154" s="305"/>
      <c r="S154" s="291"/>
      <c r="T154" s="291"/>
    </row>
    <row r="155" spans="1:20" s="103" customFormat="1" ht="20.25" customHeight="1" x14ac:dyDescent="0.25">
      <c r="A155" s="59" t="s">
        <v>286</v>
      </c>
      <c r="B155" s="211" t="s">
        <v>178</v>
      </c>
      <c r="C155" s="250"/>
      <c r="D155" s="263" t="s">
        <v>255</v>
      </c>
      <c r="E155" s="61" t="s">
        <v>17</v>
      </c>
      <c r="F155" s="62" t="s">
        <v>19</v>
      </c>
      <c r="G155" s="105">
        <v>1</v>
      </c>
      <c r="H155" s="256">
        <v>14</v>
      </c>
      <c r="I155" s="256"/>
      <c r="J155" s="252"/>
      <c r="K155" s="11">
        <f t="shared" si="35"/>
        <v>14</v>
      </c>
      <c r="L155" s="148"/>
      <c r="M155" s="156"/>
      <c r="N155" s="65">
        <f t="shared" si="23"/>
        <v>0</v>
      </c>
      <c r="O155" s="188">
        <f t="shared" si="24"/>
        <v>0</v>
      </c>
      <c r="P155" s="67">
        <f t="shared" si="25"/>
        <v>0</v>
      </c>
      <c r="Q155" s="68">
        <f t="shared" si="26"/>
        <v>0</v>
      </c>
      <c r="R155" s="305"/>
      <c r="S155" s="291"/>
      <c r="T155" s="291"/>
    </row>
    <row r="156" spans="1:20" s="103" customFormat="1" ht="20.25" customHeight="1" x14ac:dyDescent="0.25">
      <c r="A156" s="59" t="s">
        <v>287</v>
      </c>
      <c r="B156" s="211" t="s">
        <v>178</v>
      </c>
      <c r="C156" s="250"/>
      <c r="D156" s="263" t="s">
        <v>276</v>
      </c>
      <c r="E156" s="61" t="s">
        <v>17</v>
      </c>
      <c r="F156" s="62" t="s">
        <v>19</v>
      </c>
      <c r="G156" s="105">
        <v>1</v>
      </c>
      <c r="H156" s="256">
        <v>7</v>
      </c>
      <c r="I156" s="256"/>
      <c r="J156" s="252"/>
      <c r="K156" s="11">
        <f t="shared" si="35"/>
        <v>7</v>
      </c>
      <c r="L156" s="148"/>
      <c r="M156" s="156"/>
      <c r="N156" s="65">
        <f t="shared" si="23"/>
        <v>0</v>
      </c>
      <c r="O156" s="188">
        <f t="shared" si="24"/>
        <v>0</v>
      </c>
      <c r="P156" s="67">
        <f t="shared" si="25"/>
        <v>0</v>
      </c>
      <c r="Q156" s="68">
        <f t="shared" si="26"/>
        <v>0</v>
      </c>
      <c r="R156" s="305"/>
      <c r="S156" s="291"/>
      <c r="T156" s="291"/>
    </row>
    <row r="157" spans="1:20" s="103" customFormat="1" ht="20.25" customHeight="1" x14ac:dyDescent="0.25">
      <c r="A157" s="59" t="s">
        <v>288</v>
      </c>
      <c r="B157" s="211" t="s">
        <v>178</v>
      </c>
      <c r="C157" s="250"/>
      <c r="D157" s="263" t="s">
        <v>258</v>
      </c>
      <c r="E157" s="61" t="s">
        <v>17</v>
      </c>
      <c r="F157" s="62" t="s">
        <v>19</v>
      </c>
      <c r="G157" s="105">
        <v>1</v>
      </c>
      <c r="H157" s="256">
        <v>98</v>
      </c>
      <c r="I157" s="256"/>
      <c r="J157" s="252"/>
      <c r="K157" s="11">
        <f t="shared" si="35"/>
        <v>98</v>
      </c>
      <c r="L157" s="148"/>
      <c r="M157" s="156"/>
      <c r="N157" s="65">
        <f t="shared" si="23"/>
        <v>0</v>
      </c>
      <c r="O157" s="188">
        <f t="shared" si="24"/>
        <v>0</v>
      </c>
      <c r="P157" s="67">
        <f t="shared" si="25"/>
        <v>0</v>
      </c>
      <c r="Q157" s="68">
        <f t="shared" si="26"/>
        <v>0</v>
      </c>
      <c r="R157" s="305"/>
      <c r="S157" s="291"/>
      <c r="T157" s="291"/>
    </row>
    <row r="158" spans="1:20" s="103" customFormat="1" ht="20.25" customHeight="1" x14ac:dyDescent="0.25">
      <c r="A158" s="59" t="s">
        <v>289</v>
      </c>
      <c r="B158" s="211" t="s">
        <v>178</v>
      </c>
      <c r="C158" s="250"/>
      <c r="D158" s="263" t="s">
        <v>259</v>
      </c>
      <c r="E158" s="61" t="s">
        <v>17</v>
      </c>
      <c r="F158" s="62" t="s">
        <v>19</v>
      </c>
      <c r="G158" s="105">
        <v>1</v>
      </c>
      <c r="H158" s="256">
        <v>28</v>
      </c>
      <c r="I158" s="256"/>
      <c r="J158" s="252"/>
      <c r="K158" s="11">
        <f t="shared" si="35"/>
        <v>28</v>
      </c>
      <c r="L158" s="148"/>
      <c r="M158" s="156"/>
      <c r="N158" s="65">
        <f t="shared" ref="N158:N197" si="36">L158+M158</f>
        <v>0</v>
      </c>
      <c r="O158" s="188">
        <f t="shared" ref="O158:O197" si="37">L158*K158</f>
        <v>0</v>
      </c>
      <c r="P158" s="67">
        <f t="shared" ref="P158:P197" si="38">M158*K158</f>
        <v>0</v>
      </c>
      <c r="Q158" s="68">
        <f t="shared" ref="Q158:Q197" si="39">O158+P158</f>
        <v>0</v>
      </c>
      <c r="R158" s="305"/>
      <c r="S158" s="291"/>
      <c r="T158" s="291"/>
    </row>
    <row r="159" spans="1:20" s="103" customFormat="1" ht="20.25" customHeight="1" x14ac:dyDescent="0.25">
      <c r="A159" s="59" t="s">
        <v>290</v>
      </c>
      <c r="B159" s="211" t="s">
        <v>178</v>
      </c>
      <c r="C159" s="250"/>
      <c r="D159" s="263" t="s">
        <v>277</v>
      </c>
      <c r="E159" s="61" t="s">
        <v>17</v>
      </c>
      <c r="F159" s="62" t="s">
        <v>19</v>
      </c>
      <c r="G159" s="105">
        <v>1</v>
      </c>
      <c r="H159" s="256">
        <v>7</v>
      </c>
      <c r="I159" s="256"/>
      <c r="J159" s="252"/>
      <c r="K159" s="11">
        <f t="shared" si="35"/>
        <v>7</v>
      </c>
      <c r="L159" s="148"/>
      <c r="M159" s="156"/>
      <c r="N159" s="65">
        <f t="shared" si="36"/>
        <v>0</v>
      </c>
      <c r="O159" s="188">
        <f t="shared" si="37"/>
        <v>0</v>
      </c>
      <c r="P159" s="67">
        <f t="shared" si="38"/>
        <v>0</v>
      </c>
      <c r="Q159" s="68">
        <f t="shared" si="39"/>
        <v>0</v>
      </c>
      <c r="R159" s="305"/>
      <c r="S159" s="291"/>
      <c r="T159" s="291"/>
    </row>
    <row r="160" spans="1:20" s="103" customFormat="1" ht="20.25" customHeight="1" x14ac:dyDescent="0.25">
      <c r="A160" s="59" t="s">
        <v>292</v>
      </c>
      <c r="B160" s="211" t="s">
        <v>178</v>
      </c>
      <c r="C160" s="250"/>
      <c r="D160" s="263" t="s">
        <v>261</v>
      </c>
      <c r="E160" s="61" t="s">
        <v>17</v>
      </c>
      <c r="F160" s="62" t="s">
        <v>19</v>
      </c>
      <c r="G160" s="105">
        <v>1</v>
      </c>
      <c r="H160" s="256">
        <v>7</v>
      </c>
      <c r="I160" s="256"/>
      <c r="J160" s="252"/>
      <c r="K160" s="11">
        <f t="shared" si="35"/>
        <v>7</v>
      </c>
      <c r="L160" s="148"/>
      <c r="M160" s="156"/>
      <c r="N160" s="65">
        <f t="shared" si="36"/>
        <v>0</v>
      </c>
      <c r="O160" s="188">
        <f t="shared" si="37"/>
        <v>0</v>
      </c>
      <c r="P160" s="67">
        <f t="shared" si="38"/>
        <v>0</v>
      </c>
      <c r="Q160" s="68">
        <f t="shared" si="39"/>
        <v>0</v>
      </c>
      <c r="R160" s="305"/>
      <c r="S160" s="291"/>
      <c r="T160" s="291"/>
    </row>
    <row r="161" spans="1:20" s="103" customFormat="1" ht="20.25" customHeight="1" x14ac:dyDescent="0.25">
      <c r="A161" s="59" t="s">
        <v>293</v>
      </c>
      <c r="B161" s="211" t="s">
        <v>178</v>
      </c>
      <c r="C161" s="250"/>
      <c r="D161" s="263" t="s">
        <v>262</v>
      </c>
      <c r="E161" s="61" t="s">
        <v>17</v>
      </c>
      <c r="F161" s="62" t="s">
        <v>19</v>
      </c>
      <c r="G161" s="105">
        <v>1</v>
      </c>
      <c r="H161" s="256">
        <v>7</v>
      </c>
      <c r="I161" s="256"/>
      <c r="J161" s="252"/>
      <c r="K161" s="11">
        <f t="shared" si="35"/>
        <v>7</v>
      </c>
      <c r="L161" s="148"/>
      <c r="M161" s="156"/>
      <c r="N161" s="65">
        <f t="shared" si="36"/>
        <v>0</v>
      </c>
      <c r="O161" s="188">
        <f t="shared" si="37"/>
        <v>0</v>
      </c>
      <c r="P161" s="67">
        <f t="shared" si="38"/>
        <v>0</v>
      </c>
      <c r="Q161" s="68">
        <f t="shared" si="39"/>
        <v>0</v>
      </c>
      <c r="R161" s="305"/>
      <c r="S161" s="291"/>
      <c r="T161" s="291"/>
    </row>
    <row r="162" spans="1:20" s="103" customFormat="1" ht="20.25" customHeight="1" x14ac:dyDescent="0.25">
      <c r="A162" s="59" t="s">
        <v>294</v>
      </c>
      <c r="B162" s="211" t="s">
        <v>178</v>
      </c>
      <c r="C162" s="250"/>
      <c r="D162" s="263" t="s">
        <v>274</v>
      </c>
      <c r="E162" s="61" t="s">
        <v>17</v>
      </c>
      <c r="F162" s="62" t="s">
        <v>19</v>
      </c>
      <c r="G162" s="105">
        <v>1</v>
      </c>
      <c r="H162" s="256">
        <v>21</v>
      </c>
      <c r="I162" s="256"/>
      <c r="J162" s="252"/>
      <c r="K162" s="11">
        <f t="shared" si="35"/>
        <v>21</v>
      </c>
      <c r="L162" s="148"/>
      <c r="M162" s="156"/>
      <c r="N162" s="65">
        <f t="shared" si="36"/>
        <v>0</v>
      </c>
      <c r="O162" s="188">
        <f t="shared" si="37"/>
        <v>0</v>
      </c>
      <c r="P162" s="67">
        <f t="shared" si="38"/>
        <v>0</v>
      </c>
      <c r="Q162" s="68">
        <f t="shared" si="39"/>
        <v>0</v>
      </c>
      <c r="R162" s="305"/>
      <c r="S162" s="291"/>
      <c r="T162" s="291"/>
    </row>
    <row r="163" spans="1:20" s="103" customFormat="1" ht="20.25" customHeight="1" x14ac:dyDescent="0.25">
      <c r="A163" s="59" t="s">
        <v>295</v>
      </c>
      <c r="B163" s="211" t="s">
        <v>178</v>
      </c>
      <c r="C163" s="250"/>
      <c r="D163" s="263" t="s">
        <v>264</v>
      </c>
      <c r="E163" s="61" t="s">
        <v>17</v>
      </c>
      <c r="F163" s="62" t="s">
        <v>19</v>
      </c>
      <c r="G163" s="105">
        <v>1</v>
      </c>
      <c r="H163" s="256">
        <v>28</v>
      </c>
      <c r="I163" s="256"/>
      <c r="J163" s="252"/>
      <c r="K163" s="11">
        <f t="shared" si="35"/>
        <v>28</v>
      </c>
      <c r="L163" s="148"/>
      <c r="M163" s="156"/>
      <c r="N163" s="65">
        <f t="shared" si="36"/>
        <v>0</v>
      </c>
      <c r="O163" s="188">
        <f t="shared" si="37"/>
        <v>0</v>
      </c>
      <c r="P163" s="67">
        <f t="shared" si="38"/>
        <v>0</v>
      </c>
      <c r="Q163" s="68">
        <f t="shared" si="39"/>
        <v>0</v>
      </c>
      <c r="R163" s="305"/>
      <c r="S163" s="291"/>
      <c r="T163" s="291"/>
    </row>
    <row r="164" spans="1:20" s="103" customFormat="1" ht="20.25" customHeight="1" x14ac:dyDescent="0.25">
      <c r="A164" s="59" t="s">
        <v>296</v>
      </c>
      <c r="B164" s="211" t="s">
        <v>178</v>
      </c>
      <c r="C164" s="250"/>
      <c r="D164" s="263" t="s">
        <v>265</v>
      </c>
      <c r="E164" s="61" t="s">
        <v>17</v>
      </c>
      <c r="F164" s="62" t="s">
        <v>19</v>
      </c>
      <c r="G164" s="105">
        <v>1</v>
      </c>
      <c r="H164" s="256">
        <v>7</v>
      </c>
      <c r="I164" s="256"/>
      <c r="J164" s="252"/>
      <c r="K164" s="11">
        <f t="shared" si="35"/>
        <v>7</v>
      </c>
      <c r="L164" s="148"/>
      <c r="M164" s="156"/>
      <c r="N164" s="65">
        <f t="shared" si="36"/>
        <v>0</v>
      </c>
      <c r="O164" s="188">
        <f t="shared" si="37"/>
        <v>0</v>
      </c>
      <c r="P164" s="67">
        <f t="shared" si="38"/>
        <v>0</v>
      </c>
      <c r="Q164" s="68">
        <f t="shared" si="39"/>
        <v>0</v>
      </c>
      <c r="R164" s="305"/>
      <c r="S164" s="291"/>
      <c r="T164" s="291"/>
    </row>
    <row r="165" spans="1:20" s="103" customFormat="1" ht="20.25" customHeight="1" x14ac:dyDescent="0.25">
      <c r="A165" s="59" t="s">
        <v>297</v>
      </c>
      <c r="B165" s="211" t="s">
        <v>178</v>
      </c>
      <c r="C165" s="250"/>
      <c r="D165" s="263" t="s">
        <v>278</v>
      </c>
      <c r="E165" s="61" t="s">
        <v>17</v>
      </c>
      <c r="F165" s="62" t="s">
        <v>19</v>
      </c>
      <c r="G165" s="105">
        <v>1</v>
      </c>
      <c r="H165" s="256">
        <v>7</v>
      </c>
      <c r="I165" s="256"/>
      <c r="J165" s="252"/>
      <c r="K165" s="11">
        <f t="shared" si="35"/>
        <v>7</v>
      </c>
      <c r="L165" s="148"/>
      <c r="M165" s="156"/>
      <c r="N165" s="65">
        <f t="shared" si="36"/>
        <v>0</v>
      </c>
      <c r="O165" s="188">
        <f t="shared" si="37"/>
        <v>0</v>
      </c>
      <c r="P165" s="67">
        <f t="shared" si="38"/>
        <v>0</v>
      </c>
      <c r="Q165" s="68">
        <f t="shared" si="39"/>
        <v>0</v>
      </c>
      <c r="R165" s="305"/>
      <c r="S165" s="291"/>
      <c r="T165" s="291"/>
    </row>
    <row r="166" spans="1:20" s="243" customFormat="1" ht="20.25" customHeight="1" x14ac:dyDescent="0.25">
      <c r="A166" s="59" t="s">
        <v>298</v>
      </c>
      <c r="B166" s="211" t="s">
        <v>178</v>
      </c>
      <c r="C166" s="250"/>
      <c r="D166" s="500" t="s">
        <v>244</v>
      </c>
      <c r="E166" s="61" t="s">
        <v>17</v>
      </c>
      <c r="F166" s="251" t="s">
        <v>21</v>
      </c>
      <c r="G166" s="255">
        <v>1.04</v>
      </c>
      <c r="H166" s="256">
        <f>5.33*G166</f>
        <v>5.5432000000000006</v>
      </c>
      <c r="I166" s="256"/>
      <c r="J166" s="252"/>
      <c r="K166" s="11">
        <f t="shared" si="35"/>
        <v>5.5430000000000001</v>
      </c>
      <c r="L166" s="148"/>
      <c r="M166" s="228"/>
      <c r="N166" s="229">
        <f t="shared" si="36"/>
        <v>0</v>
      </c>
      <c r="O166" s="230">
        <f t="shared" si="37"/>
        <v>0</v>
      </c>
      <c r="P166" s="231">
        <f t="shared" si="38"/>
        <v>0</v>
      </c>
      <c r="Q166" s="232">
        <f t="shared" si="39"/>
        <v>0</v>
      </c>
      <c r="R166" s="315"/>
      <c r="S166" s="306"/>
      <c r="T166" s="306"/>
    </row>
    <row r="167" spans="1:20" s="243" customFormat="1" ht="20.25" customHeight="1" x14ac:dyDescent="0.25">
      <c r="A167" s="59" t="s">
        <v>299</v>
      </c>
      <c r="B167" s="211" t="s">
        <v>178</v>
      </c>
      <c r="C167" s="250"/>
      <c r="D167" s="500" t="s">
        <v>245</v>
      </c>
      <c r="E167" s="61" t="s">
        <v>17</v>
      </c>
      <c r="F167" s="251" t="s">
        <v>18</v>
      </c>
      <c r="G167" s="255">
        <v>1</v>
      </c>
      <c r="H167" s="256">
        <v>1.0489999999999999</v>
      </c>
      <c r="I167" s="256"/>
      <c r="J167" s="252"/>
      <c r="K167" s="11">
        <f t="shared" si="35"/>
        <v>1.0489999999999999</v>
      </c>
      <c r="L167" s="148"/>
      <c r="M167" s="228"/>
      <c r="N167" s="229">
        <f t="shared" si="36"/>
        <v>0</v>
      </c>
      <c r="O167" s="230">
        <f t="shared" si="37"/>
        <v>0</v>
      </c>
      <c r="P167" s="231">
        <f t="shared" si="38"/>
        <v>0</v>
      </c>
      <c r="Q167" s="232">
        <f t="shared" si="39"/>
        <v>0</v>
      </c>
      <c r="R167" s="315"/>
      <c r="S167" s="306"/>
      <c r="T167" s="306"/>
    </row>
    <row r="168" spans="1:20" s="243" customFormat="1" ht="20.25" customHeight="1" x14ac:dyDescent="0.25">
      <c r="A168" s="59" t="s">
        <v>300</v>
      </c>
      <c r="B168" s="211" t="s">
        <v>178</v>
      </c>
      <c r="C168" s="250"/>
      <c r="D168" s="95" t="s">
        <v>65</v>
      </c>
      <c r="E168" s="61" t="s">
        <v>17</v>
      </c>
      <c r="F168" s="251" t="s">
        <v>21</v>
      </c>
      <c r="G168" s="255">
        <v>1.04</v>
      </c>
      <c r="H168" s="256">
        <f>0.933*G168</f>
        <v>0.97032000000000007</v>
      </c>
      <c r="I168" s="256"/>
      <c r="J168" s="252"/>
      <c r="K168" s="11">
        <f t="shared" si="35"/>
        <v>0.97</v>
      </c>
      <c r="L168" s="148"/>
      <c r="M168" s="228"/>
      <c r="N168" s="229">
        <f t="shared" si="36"/>
        <v>0</v>
      </c>
      <c r="O168" s="230">
        <f t="shared" si="37"/>
        <v>0</v>
      </c>
      <c r="P168" s="231">
        <f t="shared" si="38"/>
        <v>0</v>
      </c>
      <c r="Q168" s="232">
        <f t="shared" si="39"/>
        <v>0</v>
      </c>
      <c r="R168" s="315"/>
      <c r="S168" s="306"/>
      <c r="T168" s="306"/>
    </row>
    <row r="169" spans="1:20" s="243" customFormat="1" ht="20.25" customHeight="1" x14ac:dyDescent="0.25">
      <c r="A169" s="59" t="s">
        <v>305</v>
      </c>
      <c r="B169" s="211" t="s">
        <v>178</v>
      </c>
      <c r="C169" s="250"/>
      <c r="D169" s="487" t="s">
        <v>409</v>
      </c>
      <c r="E169" s="61" t="s">
        <v>17</v>
      </c>
      <c r="F169" s="251" t="s">
        <v>328</v>
      </c>
      <c r="G169" s="255">
        <v>1</v>
      </c>
      <c r="H169" s="256">
        <f>98*7</f>
        <v>686</v>
      </c>
      <c r="I169" s="256"/>
      <c r="J169" s="252"/>
      <c r="K169" s="11">
        <f t="shared" si="35"/>
        <v>686</v>
      </c>
      <c r="L169" s="148"/>
      <c r="M169" s="228"/>
      <c r="N169" s="229">
        <f t="shared" si="36"/>
        <v>0</v>
      </c>
      <c r="O169" s="230">
        <f t="shared" si="37"/>
        <v>0</v>
      </c>
      <c r="P169" s="231">
        <f t="shared" si="38"/>
        <v>0</v>
      </c>
      <c r="Q169" s="232">
        <f t="shared" si="39"/>
        <v>0</v>
      </c>
      <c r="R169" s="315"/>
      <c r="S169" s="306"/>
      <c r="T169" s="306"/>
    </row>
    <row r="170" spans="1:20" s="290" customFormat="1" ht="20.25" customHeight="1" x14ac:dyDescent="0.25">
      <c r="A170" s="49" t="s">
        <v>306</v>
      </c>
      <c r="B170" s="210" t="s">
        <v>177</v>
      </c>
      <c r="C170" s="199" t="s">
        <v>165</v>
      </c>
      <c r="D170" s="98" t="s">
        <v>291</v>
      </c>
      <c r="E170" s="51" t="s">
        <v>17</v>
      </c>
      <c r="F170" s="52" t="s">
        <v>19</v>
      </c>
      <c r="G170" s="53">
        <v>1</v>
      </c>
      <c r="H170" s="94">
        <v>1920</v>
      </c>
      <c r="I170" s="94"/>
      <c r="J170" s="93"/>
      <c r="K170" s="11">
        <f t="shared" si="35"/>
        <v>1920</v>
      </c>
      <c r="L170" s="150"/>
      <c r="M170" s="151"/>
      <c r="N170" s="81">
        <f t="shared" si="36"/>
        <v>0</v>
      </c>
      <c r="O170" s="78">
        <f t="shared" si="37"/>
        <v>0</v>
      </c>
      <c r="P170" s="82">
        <f t="shared" si="38"/>
        <v>0</v>
      </c>
      <c r="Q170" s="58">
        <f t="shared" si="39"/>
        <v>0</v>
      </c>
      <c r="R170" s="297"/>
      <c r="S170" s="289"/>
      <c r="T170" s="289"/>
    </row>
    <row r="171" spans="1:20" s="103" customFormat="1" ht="20.25" customHeight="1" x14ac:dyDescent="0.25">
      <c r="A171" s="59" t="s">
        <v>307</v>
      </c>
      <c r="B171" s="211" t="s">
        <v>178</v>
      </c>
      <c r="C171" s="250"/>
      <c r="D171" s="327" t="s">
        <v>247</v>
      </c>
      <c r="E171" s="61" t="s">
        <v>17</v>
      </c>
      <c r="F171" s="62" t="s">
        <v>19</v>
      </c>
      <c r="G171" s="255">
        <v>1</v>
      </c>
      <c r="H171" s="256">
        <v>256</v>
      </c>
      <c r="I171" s="256"/>
      <c r="J171" s="252"/>
      <c r="K171" s="11">
        <f t="shared" si="35"/>
        <v>256</v>
      </c>
      <c r="L171" s="148"/>
      <c r="M171" s="156"/>
      <c r="N171" s="65">
        <f t="shared" si="36"/>
        <v>0</v>
      </c>
      <c r="O171" s="188">
        <f t="shared" si="37"/>
        <v>0</v>
      </c>
      <c r="P171" s="67">
        <f t="shared" si="38"/>
        <v>0</v>
      </c>
      <c r="Q171" s="68">
        <f t="shared" si="39"/>
        <v>0</v>
      </c>
      <c r="R171" s="305"/>
      <c r="S171" s="291"/>
      <c r="T171" s="291"/>
    </row>
    <row r="172" spans="1:20" s="103" customFormat="1" ht="20.25" customHeight="1" x14ac:dyDescent="0.25">
      <c r="A172" s="59" t="s">
        <v>308</v>
      </c>
      <c r="B172" s="211" t="s">
        <v>178</v>
      </c>
      <c r="C172" s="250"/>
      <c r="D172" s="327" t="s">
        <v>248</v>
      </c>
      <c r="E172" s="61" t="s">
        <v>17</v>
      </c>
      <c r="F172" s="62" t="s">
        <v>19</v>
      </c>
      <c r="G172" s="255">
        <v>1</v>
      </c>
      <c r="H172" s="256">
        <v>48</v>
      </c>
      <c r="I172" s="256"/>
      <c r="J172" s="252"/>
      <c r="K172" s="11">
        <f t="shared" si="35"/>
        <v>48</v>
      </c>
      <c r="L172" s="148"/>
      <c r="M172" s="156"/>
      <c r="N172" s="65">
        <f t="shared" si="36"/>
        <v>0</v>
      </c>
      <c r="O172" s="188">
        <f t="shared" si="37"/>
        <v>0</v>
      </c>
      <c r="P172" s="67">
        <f t="shared" si="38"/>
        <v>0</v>
      </c>
      <c r="Q172" s="68">
        <f t="shared" si="39"/>
        <v>0</v>
      </c>
      <c r="R172" s="305"/>
      <c r="S172" s="291"/>
      <c r="T172" s="291"/>
    </row>
    <row r="173" spans="1:20" s="103" customFormat="1" ht="20.25" customHeight="1" x14ac:dyDescent="0.25">
      <c r="A173" s="59" t="s">
        <v>309</v>
      </c>
      <c r="B173" s="211" t="s">
        <v>178</v>
      </c>
      <c r="C173" s="250"/>
      <c r="D173" s="257" t="s">
        <v>274</v>
      </c>
      <c r="E173" s="61" t="s">
        <v>17</v>
      </c>
      <c r="F173" s="62" t="s">
        <v>19</v>
      </c>
      <c r="G173" s="255">
        <v>1</v>
      </c>
      <c r="H173" s="256">
        <v>80</v>
      </c>
      <c r="I173" s="256"/>
      <c r="J173" s="252"/>
      <c r="K173" s="11">
        <f t="shared" si="35"/>
        <v>80</v>
      </c>
      <c r="L173" s="148"/>
      <c r="M173" s="156"/>
      <c r="N173" s="65">
        <f t="shared" si="36"/>
        <v>0</v>
      </c>
      <c r="O173" s="188">
        <f t="shared" si="37"/>
        <v>0</v>
      </c>
      <c r="P173" s="67">
        <f t="shared" si="38"/>
        <v>0</v>
      </c>
      <c r="Q173" s="68">
        <f t="shared" si="39"/>
        <v>0</v>
      </c>
      <c r="R173" s="305"/>
      <c r="S173" s="291"/>
      <c r="T173" s="291"/>
    </row>
    <row r="174" spans="1:20" s="103" customFormat="1" ht="20.25" customHeight="1" x14ac:dyDescent="0.25">
      <c r="A174" s="59" t="s">
        <v>310</v>
      </c>
      <c r="B174" s="211" t="s">
        <v>178</v>
      </c>
      <c r="C174" s="250"/>
      <c r="D174" s="257" t="s">
        <v>275</v>
      </c>
      <c r="E174" s="61" t="s">
        <v>17</v>
      </c>
      <c r="F174" s="62" t="s">
        <v>19</v>
      </c>
      <c r="G174" s="255">
        <v>1</v>
      </c>
      <c r="H174" s="256">
        <v>240</v>
      </c>
      <c r="I174" s="256"/>
      <c r="J174" s="252"/>
      <c r="K174" s="11">
        <f t="shared" si="35"/>
        <v>240</v>
      </c>
      <c r="L174" s="148"/>
      <c r="M174" s="156"/>
      <c r="N174" s="65">
        <f t="shared" si="36"/>
        <v>0</v>
      </c>
      <c r="O174" s="188">
        <f t="shared" si="37"/>
        <v>0</v>
      </c>
      <c r="P174" s="67">
        <f t="shared" si="38"/>
        <v>0</v>
      </c>
      <c r="Q174" s="68">
        <f t="shared" si="39"/>
        <v>0</v>
      </c>
      <c r="R174" s="305"/>
      <c r="S174" s="291"/>
      <c r="T174" s="291"/>
    </row>
    <row r="175" spans="1:20" s="103" customFormat="1" ht="20.25" customHeight="1" x14ac:dyDescent="0.25">
      <c r="A175" s="59" t="s">
        <v>311</v>
      </c>
      <c r="B175" s="211" t="s">
        <v>178</v>
      </c>
      <c r="C175" s="250"/>
      <c r="D175" s="257" t="s">
        <v>250</v>
      </c>
      <c r="E175" s="61" t="s">
        <v>17</v>
      </c>
      <c r="F175" s="62" t="s">
        <v>19</v>
      </c>
      <c r="G175" s="255">
        <v>1</v>
      </c>
      <c r="H175" s="256">
        <v>16</v>
      </c>
      <c r="I175" s="256"/>
      <c r="J175" s="252"/>
      <c r="K175" s="11">
        <f t="shared" si="35"/>
        <v>16</v>
      </c>
      <c r="L175" s="148"/>
      <c r="M175" s="156"/>
      <c r="N175" s="65">
        <f t="shared" si="36"/>
        <v>0</v>
      </c>
      <c r="O175" s="188">
        <f t="shared" si="37"/>
        <v>0</v>
      </c>
      <c r="P175" s="67">
        <f t="shared" si="38"/>
        <v>0</v>
      </c>
      <c r="Q175" s="68">
        <f t="shared" si="39"/>
        <v>0</v>
      </c>
      <c r="R175" s="305"/>
      <c r="S175" s="291"/>
      <c r="T175" s="291"/>
    </row>
    <row r="176" spans="1:20" s="103" customFormat="1" ht="20.25" customHeight="1" x14ac:dyDescent="0.25">
      <c r="A176" s="59" t="s">
        <v>312</v>
      </c>
      <c r="B176" s="211" t="s">
        <v>178</v>
      </c>
      <c r="C176" s="250"/>
      <c r="D176" s="257" t="s">
        <v>252</v>
      </c>
      <c r="E176" s="61" t="s">
        <v>17</v>
      </c>
      <c r="F176" s="62" t="s">
        <v>19</v>
      </c>
      <c r="G176" s="255">
        <v>1</v>
      </c>
      <c r="H176" s="256">
        <v>96</v>
      </c>
      <c r="I176" s="256"/>
      <c r="J176" s="252"/>
      <c r="K176" s="11">
        <f t="shared" si="35"/>
        <v>96</v>
      </c>
      <c r="L176" s="148"/>
      <c r="M176" s="156"/>
      <c r="N176" s="65">
        <f t="shared" si="36"/>
        <v>0</v>
      </c>
      <c r="O176" s="188">
        <f t="shared" si="37"/>
        <v>0</v>
      </c>
      <c r="P176" s="67">
        <f t="shared" si="38"/>
        <v>0</v>
      </c>
      <c r="Q176" s="68">
        <f t="shared" si="39"/>
        <v>0</v>
      </c>
      <c r="R176" s="305"/>
      <c r="S176" s="291"/>
      <c r="T176" s="291"/>
    </row>
    <row r="177" spans="1:20" s="103" customFormat="1" ht="20.25" customHeight="1" x14ac:dyDescent="0.25">
      <c r="A177" s="59" t="s">
        <v>313</v>
      </c>
      <c r="B177" s="211" t="s">
        <v>178</v>
      </c>
      <c r="C177" s="250"/>
      <c r="D177" s="257" t="s">
        <v>255</v>
      </c>
      <c r="E177" s="61" t="s">
        <v>17</v>
      </c>
      <c r="F177" s="62" t="s">
        <v>19</v>
      </c>
      <c r="G177" s="255">
        <v>1</v>
      </c>
      <c r="H177" s="256">
        <v>32</v>
      </c>
      <c r="I177" s="256"/>
      <c r="J177" s="252"/>
      <c r="K177" s="11">
        <f t="shared" si="35"/>
        <v>32</v>
      </c>
      <c r="L177" s="148"/>
      <c r="M177" s="156"/>
      <c r="N177" s="65">
        <f t="shared" si="36"/>
        <v>0</v>
      </c>
      <c r="O177" s="188">
        <f t="shared" si="37"/>
        <v>0</v>
      </c>
      <c r="P177" s="67">
        <f t="shared" si="38"/>
        <v>0</v>
      </c>
      <c r="Q177" s="68">
        <f t="shared" si="39"/>
        <v>0</v>
      </c>
      <c r="R177" s="305"/>
      <c r="S177" s="291"/>
      <c r="T177" s="291"/>
    </row>
    <row r="178" spans="1:20" s="103" customFormat="1" ht="20.25" customHeight="1" x14ac:dyDescent="0.25">
      <c r="A178" s="59" t="s">
        <v>314</v>
      </c>
      <c r="B178" s="211" t="s">
        <v>178</v>
      </c>
      <c r="C178" s="250"/>
      <c r="D178" s="257" t="s">
        <v>276</v>
      </c>
      <c r="E178" s="61" t="s">
        <v>17</v>
      </c>
      <c r="F178" s="62" t="s">
        <v>19</v>
      </c>
      <c r="G178" s="255">
        <v>1</v>
      </c>
      <c r="H178" s="256">
        <v>16</v>
      </c>
      <c r="I178" s="256"/>
      <c r="J178" s="252"/>
      <c r="K178" s="11">
        <f t="shared" si="35"/>
        <v>16</v>
      </c>
      <c r="L178" s="148"/>
      <c r="M178" s="156"/>
      <c r="N178" s="65">
        <f t="shared" si="36"/>
        <v>0</v>
      </c>
      <c r="O178" s="188">
        <f t="shared" si="37"/>
        <v>0</v>
      </c>
      <c r="P178" s="67">
        <f t="shared" si="38"/>
        <v>0</v>
      </c>
      <c r="Q178" s="68">
        <f t="shared" si="39"/>
        <v>0</v>
      </c>
      <c r="R178" s="305"/>
      <c r="S178" s="291"/>
      <c r="T178" s="291"/>
    </row>
    <row r="179" spans="1:20" s="103" customFormat="1" ht="20.25" customHeight="1" x14ac:dyDescent="0.25">
      <c r="A179" s="59" t="s">
        <v>315</v>
      </c>
      <c r="B179" s="211" t="s">
        <v>178</v>
      </c>
      <c r="C179" s="250"/>
      <c r="D179" s="257" t="s">
        <v>258</v>
      </c>
      <c r="E179" s="61" t="s">
        <v>17</v>
      </c>
      <c r="F179" s="62" t="s">
        <v>19</v>
      </c>
      <c r="G179" s="255">
        <v>1</v>
      </c>
      <c r="H179" s="256">
        <v>176</v>
      </c>
      <c r="I179" s="256"/>
      <c r="J179" s="252"/>
      <c r="K179" s="11">
        <f t="shared" si="35"/>
        <v>176</v>
      </c>
      <c r="L179" s="148"/>
      <c r="M179" s="156"/>
      <c r="N179" s="65">
        <f t="shared" si="36"/>
        <v>0</v>
      </c>
      <c r="O179" s="188">
        <f t="shared" si="37"/>
        <v>0</v>
      </c>
      <c r="P179" s="67">
        <f t="shared" si="38"/>
        <v>0</v>
      </c>
      <c r="Q179" s="68">
        <f t="shared" si="39"/>
        <v>0</v>
      </c>
      <c r="R179" s="305"/>
      <c r="S179" s="291"/>
      <c r="T179" s="291"/>
    </row>
    <row r="180" spans="1:20" s="103" customFormat="1" ht="20.25" customHeight="1" x14ac:dyDescent="0.25">
      <c r="A180" s="59" t="s">
        <v>316</v>
      </c>
      <c r="B180" s="211" t="s">
        <v>178</v>
      </c>
      <c r="C180" s="250"/>
      <c r="D180" s="257" t="s">
        <v>259</v>
      </c>
      <c r="E180" s="61" t="s">
        <v>17</v>
      </c>
      <c r="F180" s="62" t="s">
        <v>19</v>
      </c>
      <c r="G180" s="255">
        <v>1</v>
      </c>
      <c r="H180" s="256">
        <v>48</v>
      </c>
      <c r="I180" s="256"/>
      <c r="J180" s="252"/>
      <c r="K180" s="11">
        <f t="shared" si="35"/>
        <v>48</v>
      </c>
      <c r="L180" s="148"/>
      <c r="M180" s="156"/>
      <c r="N180" s="65">
        <f t="shared" si="36"/>
        <v>0</v>
      </c>
      <c r="O180" s="188">
        <f t="shared" si="37"/>
        <v>0</v>
      </c>
      <c r="P180" s="67">
        <f t="shared" si="38"/>
        <v>0</v>
      </c>
      <c r="Q180" s="68">
        <f t="shared" si="39"/>
        <v>0</v>
      </c>
      <c r="R180" s="305"/>
      <c r="S180" s="291"/>
      <c r="T180" s="291"/>
    </row>
    <row r="181" spans="1:20" s="103" customFormat="1" ht="20.25" customHeight="1" x14ac:dyDescent="0.25">
      <c r="A181" s="59" t="s">
        <v>317</v>
      </c>
      <c r="B181" s="211" t="s">
        <v>178</v>
      </c>
      <c r="C181" s="250"/>
      <c r="D181" s="257" t="s">
        <v>277</v>
      </c>
      <c r="E181" s="61" t="s">
        <v>17</v>
      </c>
      <c r="F181" s="62" t="s">
        <v>19</v>
      </c>
      <c r="G181" s="255">
        <v>1</v>
      </c>
      <c r="H181" s="256">
        <v>16</v>
      </c>
      <c r="I181" s="256"/>
      <c r="J181" s="252"/>
      <c r="K181" s="11">
        <f t="shared" si="35"/>
        <v>16</v>
      </c>
      <c r="L181" s="148"/>
      <c r="M181" s="156"/>
      <c r="N181" s="65">
        <f t="shared" si="36"/>
        <v>0</v>
      </c>
      <c r="O181" s="188">
        <f t="shared" si="37"/>
        <v>0</v>
      </c>
      <c r="P181" s="67">
        <f t="shared" si="38"/>
        <v>0</v>
      </c>
      <c r="Q181" s="68">
        <f t="shared" si="39"/>
        <v>0</v>
      </c>
      <c r="R181" s="305"/>
      <c r="S181" s="291"/>
      <c r="T181" s="291"/>
    </row>
    <row r="182" spans="1:20" s="103" customFormat="1" ht="20.25" customHeight="1" x14ac:dyDescent="0.25">
      <c r="A182" s="59" t="s">
        <v>318</v>
      </c>
      <c r="B182" s="211" t="s">
        <v>178</v>
      </c>
      <c r="C182" s="250"/>
      <c r="D182" s="257" t="s">
        <v>261</v>
      </c>
      <c r="E182" s="61" t="s">
        <v>17</v>
      </c>
      <c r="F182" s="62" t="s">
        <v>19</v>
      </c>
      <c r="G182" s="255">
        <v>1</v>
      </c>
      <c r="H182" s="256">
        <v>16</v>
      </c>
      <c r="I182" s="256"/>
      <c r="J182" s="252"/>
      <c r="K182" s="11">
        <f t="shared" si="35"/>
        <v>16</v>
      </c>
      <c r="L182" s="248"/>
      <c r="M182" s="249"/>
      <c r="N182" s="65">
        <f t="shared" si="36"/>
        <v>0</v>
      </c>
      <c r="O182" s="188">
        <f t="shared" si="37"/>
        <v>0</v>
      </c>
      <c r="P182" s="67">
        <f t="shared" si="38"/>
        <v>0</v>
      </c>
      <c r="Q182" s="68">
        <f t="shared" si="39"/>
        <v>0</v>
      </c>
      <c r="R182" s="305"/>
      <c r="S182" s="291"/>
      <c r="T182" s="291"/>
    </row>
    <row r="183" spans="1:20" s="103" customFormat="1" ht="20.25" customHeight="1" x14ac:dyDescent="0.25">
      <c r="A183" s="59" t="s">
        <v>319</v>
      </c>
      <c r="B183" s="211" t="s">
        <v>178</v>
      </c>
      <c r="C183" s="250"/>
      <c r="D183" s="257" t="s">
        <v>262</v>
      </c>
      <c r="E183" s="61" t="s">
        <v>17</v>
      </c>
      <c r="F183" s="62" t="s">
        <v>19</v>
      </c>
      <c r="G183" s="255">
        <v>1</v>
      </c>
      <c r="H183" s="256">
        <v>16</v>
      </c>
      <c r="I183" s="256"/>
      <c r="J183" s="252"/>
      <c r="K183" s="11">
        <f t="shared" si="35"/>
        <v>16</v>
      </c>
      <c r="L183" s="248"/>
      <c r="M183" s="249"/>
      <c r="N183" s="65">
        <f t="shared" si="36"/>
        <v>0</v>
      </c>
      <c r="O183" s="188">
        <f t="shared" si="37"/>
        <v>0</v>
      </c>
      <c r="P183" s="67">
        <f t="shared" si="38"/>
        <v>0</v>
      </c>
      <c r="Q183" s="68">
        <f t="shared" si="39"/>
        <v>0</v>
      </c>
      <c r="R183" s="305"/>
      <c r="S183" s="291"/>
      <c r="T183" s="291"/>
    </row>
    <row r="184" spans="1:20" s="103" customFormat="1" ht="20.25" customHeight="1" x14ac:dyDescent="0.25">
      <c r="A184" s="59" t="s">
        <v>320</v>
      </c>
      <c r="B184" s="211" t="s">
        <v>178</v>
      </c>
      <c r="C184" s="250"/>
      <c r="D184" s="263" t="s">
        <v>274</v>
      </c>
      <c r="E184" s="61" t="s">
        <v>17</v>
      </c>
      <c r="F184" s="62" t="s">
        <v>19</v>
      </c>
      <c r="G184" s="255">
        <v>1</v>
      </c>
      <c r="H184" s="256">
        <v>48</v>
      </c>
      <c r="I184" s="256"/>
      <c r="J184" s="252"/>
      <c r="K184" s="11">
        <f t="shared" si="35"/>
        <v>48</v>
      </c>
      <c r="L184" s="248"/>
      <c r="M184" s="249"/>
      <c r="N184" s="65">
        <f t="shared" si="36"/>
        <v>0</v>
      </c>
      <c r="O184" s="188">
        <f t="shared" si="37"/>
        <v>0</v>
      </c>
      <c r="P184" s="67">
        <f t="shared" si="38"/>
        <v>0</v>
      </c>
      <c r="Q184" s="68">
        <f t="shared" si="39"/>
        <v>0</v>
      </c>
      <c r="R184" s="305"/>
      <c r="S184" s="291"/>
      <c r="T184" s="291"/>
    </row>
    <row r="185" spans="1:20" s="103" customFormat="1" ht="20.25" customHeight="1" x14ac:dyDescent="0.25">
      <c r="A185" s="59" t="s">
        <v>321</v>
      </c>
      <c r="B185" s="211" t="s">
        <v>178</v>
      </c>
      <c r="C185" s="250"/>
      <c r="D185" s="257" t="s">
        <v>264</v>
      </c>
      <c r="E185" s="61" t="s">
        <v>17</v>
      </c>
      <c r="F185" s="62" t="s">
        <v>19</v>
      </c>
      <c r="G185" s="255">
        <v>1</v>
      </c>
      <c r="H185" s="256">
        <v>64</v>
      </c>
      <c r="I185" s="256"/>
      <c r="J185" s="252"/>
      <c r="K185" s="11">
        <f t="shared" si="35"/>
        <v>64</v>
      </c>
      <c r="L185" s="248"/>
      <c r="M185" s="249"/>
      <c r="N185" s="65">
        <f t="shared" si="36"/>
        <v>0</v>
      </c>
      <c r="O185" s="188">
        <f t="shared" si="37"/>
        <v>0</v>
      </c>
      <c r="P185" s="67">
        <f t="shared" si="38"/>
        <v>0</v>
      </c>
      <c r="Q185" s="68">
        <f t="shared" si="39"/>
        <v>0</v>
      </c>
      <c r="R185" s="305"/>
      <c r="S185" s="291"/>
      <c r="T185" s="291"/>
    </row>
    <row r="186" spans="1:20" s="103" customFormat="1" ht="20.25" customHeight="1" x14ac:dyDescent="0.25">
      <c r="A186" s="59" t="s">
        <v>322</v>
      </c>
      <c r="B186" s="211" t="s">
        <v>178</v>
      </c>
      <c r="C186" s="250"/>
      <c r="D186" s="257" t="s">
        <v>265</v>
      </c>
      <c r="E186" s="61" t="s">
        <v>17</v>
      </c>
      <c r="F186" s="62" t="s">
        <v>19</v>
      </c>
      <c r="G186" s="255">
        <v>1</v>
      </c>
      <c r="H186" s="256">
        <v>16</v>
      </c>
      <c r="I186" s="256"/>
      <c r="J186" s="252"/>
      <c r="K186" s="11">
        <f t="shared" si="35"/>
        <v>16</v>
      </c>
      <c r="L186" s="248"/>
      <c r="M186" s="249"/>
      <c r="N186" s="65">
        <f t="shared" si="36"/>
        <v>0</v>
      </c>
      <c r="O186" s="188">
        <f t="shared" si="37"/>
        <v>0</v>
      </c>
      <c r="P186" s="67">
        <f t="shared" si="38"/>
        <v>0</v>
      </c>
      <c r="Q186" s="68">
        <f t="shared" si="39"/>
        <v>0</v>
      </c>
      <c r="R186" s="305"/>
      <c r="S186" s="291"/>
      <c r="T186" s="291"/>
    </row>
    <row r="187" spans="1:20" s="103" customFormat="1" ht="20.25" customHeight="1" x14ac:dyDescent="0.25">
      <c r="A187" s="59" t="s">
        <v>323</v>
      </c>
      <c r="B187" s="211" t="s">
        <v>178</v>
      </c>
      <c r="C187" s="250"/>
      <c r="D187" s="257" t="s">
        <v>278</v>
      </c>
      <c r="E187" s="61" t="s">
        <v>17</v>
      </c>
      <c r="F187" s="62" t="s">
        <v>19</v>
      </c>
      <c r="G187" s="255">
        <v>1</v>
      </c>
      <c r="H187" s="256">
        <v>16</v>
      </c>
      <c r="I187" s="256"/>
      <c r="J187" s="252"/>
      <c r="K187" s="11">
        <f t="shared" si="35"/>
        <v>16</v>
      </c>
      <c r="L187" s="248"/>
      <c r="M187" s="249"/>
      <c r="N187" s="65">
        <f t="shared" si="36"/>
        <v>0</v>
      </c>
      <c r="O187" s="188">
        <f t="shared" si="37"/>
        <v>0</v>
      </c>
      <c r="P187" s="67">
        <f t="shared" si="38"/>
        <v>0</v>
      </c>
      <c r="Q187" s="68">
        <f t="shared" si="39"/>
        <v>0</v>
      </c>
      <c r="R187" s="305"/>
      <c r="S187" s="291"/>
      <c r="T187" s="291"/>
    </row>
    <row r="188" spans="1:20" s="243" customFormat="1" ht="20.25" customHeight="1" x14ac:dyDescent="0.25">
      <c r="A188" s="59" t="s">
        <v>324</v>
      </c>
      <c r="B188" s="211" t="s">
        <v>178</v>
      </c>
      <c r="C188" s="250"/>
      <c r="D188" s="500" t="s">
        <v>244</v>
      </c>
      <c r="E188" s="61" t="s">
        <v>17</v>
      </c>
      <c r="F188" s="251" t="s">
        <v>21</v>
      </c>
      <c r="G188" s="255">
        <v>1.04</v>
      </c>
      <c r="H188" s="256">
        <f>12.188*G188</f>
        <v>12.675520000000001</v>
      </c>
      <c r="I188" s="256"/>
      <c r="J188" s="252"/>
      <c r="K188" s="11">
        <f t="shared" si="35"/>
        <v>12.676</v>
      </c>
      <c r="L188" s="248"/>
      <c r="M188" s="277"/>
      <c r="N188" s="65">
        <f t="shared" si="36"/>
        <v>0</v>
      </c>
      <c r="O188" s="188">
        <f t="shared" si="37"/>
        <v>0</v>
      </c>
      <c r="P188" s="67">
        <f t="shared" si="38"/>
        <v>0</v>
      </c>
      <c r="Q188" s="68">
        <f t="shared" si="39"/>
        <v>0</v>
      </c>
      <c r="R188" s="315"/>
      <c r="S188" s="306"/>
      <c r="T188" s="306"/>
    </row>
    <row r="189" spans="1:20" s="243" customFormat="1" ht="20.25" customHeight="1" x14ac:dyDescent="0.25">
      <c r="A189" s="59" t="s">
        <v>325</v>
      </c>
      <c r="B189" s="211" t="s">
        <v>178</v>
      </c>
      <c r="C189" s="250"/>
      <c r="D189" s="500" t="s">
        <v>245</v>
      </c>
      <c r="E189" s="61" t="s">
        <v>17</v>
      </c>
      <c r="F189" s="251" t="s">
        <v>18</v>
      </c>
      <c r="G189" s="255">
        <v>1</v>
      </c>
      <c r="H189" s="256">
        <v>1.9390000000000001</v>
      </c>
      <c r="I189" s="256"/>
      <c r="J189" s="252"/>
      <c r="K189" s="11">
        <f t="shared" si="35"/>
        <v>1.9390000000000001</v>
      </c>
      <c r="L189" s="248"/>
      <c r="M189" s="277"/>
      <c r="N189" s="65">
        <f t="shared" si="36"/>
        <v>0</v>
      </c>
      <c r="O189" s="188">
        <f t="shared" si="37"/>
        <v>0</v>
      </c>
      <c r="P189" s="67">
        <f t="shared" si="38"/>
        <v>0</v>
      </c>
      <c r="Q189" s="68">
        <f t="shared" si="39"/>
        <v>0</v>
      </c>
      <c r="R189" s="315"/>
      <c r="S189" s="306"/>
      <c r="T189" s="306"/>
    </row>
    <row r="190" spans="1:20" s="243" customFormat="1" ht="20.25" customHeight="1" x14ac:dyDescent="0.25">
      <c r="A190" s="59" t="s">
        <v>326</v>
      </c>
      <c r="B190" s="211" t="s">
        <v>178</v>
      </c>
      <c r="C190" s="250"/>
      <c r="D190" s="95" t="s">
        <v>65</v>
      </c>
      <c r="E190" s="61" t="s">
        <v>17</v>
      </c>
      <c r="F190" s="251" t="s">
        <v>21</v>
      </c>
      <c r="G190" s="255">
        <v>1.04</v>
      </c>
      <c r="H190" s="256">
        <f>1.726*G190</f>
        <v>1.79504</v>
      </c>
      <c r="I190" s="256"/>
      <c r="J190" s="252"/>
      <c r="K190" s="11">
        <f t="shared" si="35"/>
        <v>1.7949999999999999</v>
      </c>
      <c r="L190" s="248"/>
      <c r="M190" s="277"/>
      <c r="N190" s="65">
        <f t="shared" si="36"/>
        <v>0</v>
      </c>
      <c r="O190" s="188">
        <f t="shared" si="37"/>
        <v>0</v>
      </c>
      <c r="P190" s="67">
        <f t="shared" si="38"/>
        <v>0</v>
      </c>
      <c r="Q190" s="68">
        <f t="shared" si="39"/>
        <v>0</v>
      </c>
      <c r="R190" s="315"/>
      <c r="S190" s="306"/>
      <c r="T190" s="306"/>
    </row>
    <row r="191" spans="1:20" s="103" customFormat="1" ht="20.25" customHeight="1" x14ac:dyDescent="0.25">
      <c r="A191" s="59" t="s">
        <v>327</v>
      </c>
      <c r="B191" s="211" t="s">
        <v>178</v>
      </c>
      <c r="C191" s="250"/>
      <c r="D191" s="487" t="s">
        <v>409</v>
      </c>
      <c r="E191" s="61" t="s">
        <v>17</v>
      </c>
      <c r="F191" s="251" t="s">
        <v>19</v>
      </c>
      <c r="G191" s="255">
        <v>1</v>
      </c>
      <c r="H191" s="256">
        <f>96*16</f>
        <v>1536</v>
      </c>
      <c r="I191" s="256"/>
      <c r="J191" s="252"/>
      <c r="K191" s="11">
        <f t="shared" si="35"/>
        <v>1536</v>
      </c>
      <c r="L191" s="248"/>
      <c r="M191" s="249"/>
      <c r="N191" s="65">
        <f t="shared" si="36"/>
        <v>0</v>
      </c>
      <c r="O191" s="188">
        <f t="shared" si="37"/>
        <v>0</v>
      </c>
      <c r="P191" s="67">
        <f t="shared" si="38"/>
        <v>0</v>
      </c>
      <c r="Q191" s="68">
        <f t="shared" si="39"/>
        <v>0</v>
      </c>
      <c r="R191" s="305"/>
      <c r="S191" s="291"/>
      <c r="T191" s="291"/>
    </row>
    <row r="192" spans="1:20" s="288" customFormat="1" ht="20.25" customHeight="1" x14ac:dyDescent="0.25">
      <c r="A192" s="432"/>
      <c r="B192" s="422"/>
      <c r="C192" s="423"/>
      <c r="D192" s="431" t="s">
        <v>415</v>
      </c>
      <c r="E192" s="369" t="s">
        <v>17</v>
      </c>
      <c r="F192" s="424"/>
      <c r="G192" s="425"/>
      <c r="H192" s="426"/>
      <c r="I192" s="426"/>
      <c r="J192" s="427"/>
      <c r="K192" s="11">
        <f t="shared" si="35"/>
        <v>0</v>
      </c>
      <c r="L192" s="428"/>
      <c r="M192" s="429"/>
      <c r="N192" s="65">
        <f t="shared" ref="N192:N194" si="40">L192+M192</f>
        <v>0</v>
      </c>
      <c r="O192" s="188">
        <f t="shared" ref="O192:O194" si="41">L192*K192</f>
        <v>0</v>
      </c>
      <c r="P192" s="67">
        <f t="shared" ref="P192:P194" si="42">M192*K192</f>
        <v>0</v>
      </c>
      <c r="Q192" s="68">
        <f t="shared" ref="Q192:Q194" si="43">O192+P192</f>
        <v>0</v>
      </c>
      <c r="R192" s="430"/>
      <c r="S192" s="366"/>
      <c r="T192" s="366"/>
    </row>
    <row r="193" spans="1:20" s="290" customFormat="1" ht="20.25" customHeight="1" x14ac:dyDescent="0.25">
      <c r="A193" s="436" t="s">
        <v>390</v>
      </c>
      <c r="B193" s="437" t="s">
        <v>177</v>
      </c>
      <c r="C193" s="461"/>
      <c r="D193" s="438" t="s">
        <v>403</v>
      </c>
      <c r="E193" s="439" t="s">
        <v>17</v>
      </c>
      <c r="F193" s="439" t="s">
        <v>20</v>
      </c>
      <c r="G193" s="439"/>
      <c r="H193" s="440">
        <f>74.68+36.97</f>
        <v>111.65</v>
      </c>
      <c r="I193" s="440"/>
      <c r="J193" s="441"/>
      <c r="K193" s="11">
        <f t="shared" si="35"/>
        <v>111.65</v>
      </c>
      <c r="L193" s="442"/>
      <c r="M193" s="501"/>
      <c r="N193" s="65">
        <f t="shared" si="40"/>
        <v>0</v>
      </c>
      <c r="O193" s="188">
        <f t="shared" si="41"/>
        <v>0</v>
      </c>
      <c r="P193" s="67">
        <f t="shared" si="42"/>
        <v>0</v>
      </c>
      <c r="Q193" s="68">
        <f t="shared" si="43"/>
        <v>0</v>
      </c>
      <c r="R193" s="444"/>
      <c r="S193" s="289"/>
      <c r="T193" s="289"/>
    </row>
    <row r="194" spans="1:20" s="103" customFormat="1" ht="28.5" customHeight="1" x14ac:dyDescent="0.25">
      <c r="A194" s="415" t="s">
        <v>396</v>
      </c>
      <c r="B194" s="416" t="s">
        <v>178</v>
      </c>
      <c r="C194" s="461"/>
      <c r="D194" s="433" t="s">
        <v>404</v>
      </c>
      <c r="E194" s="434" t="s">
        <v>17</v>
      </c>
      <c r="F194" s="434" t="s">
        <v>20</v>
      </c>
      <c r="G194" s="435">
        <v>1</v>
      </c>
      <c r="H194" s="417">
        <f>H193*G194</f>
        <v>111.65</v>
      </c>
      <c r="I194" s="417"/>
      <c r="J194" s="418"/>
      <c r="K194" s="11">
        <f t="shared" si="35"/>
        <v>111.65</v>
      </c>
      <c r="L194" s="419"/>
      <c r="M194" s="420"/>
      <c r="N194" s="65">
        <f t="shared" si="40"/>
        <v>0</v>
      </c>
      <c r="O194" s="188">
        <f t="shared" si="41"/>
        <v>0</v>
      </c>
      <c r="P194" s="67">
        <f t="shared" si="42"/>
        <v>0</v>
      </c>
      <c r="Q194" s="68">
        <f t="shared" si="43"/>
        <v>0</v>
      </c>
      <c r="R194" s="421"/>
      <c r="S194" s="291"/>
      <c r="T194" s="291"/>
    </row>
    <row r="195" spans="1:20" s="103" customFormat="1" ht="28.5" customHeight="1" x14ac:dyDescent="0.25">
      <c r="A195" s="415" t="s">
        <v>396</v>
      </c>
      <c r="B195" s="416" t="s">
        <v>178</v>
      </c>
      <c r="C195" s="461"/>
      <c r="D195" s="433" t="s">
        <v>402</v>
      </c>
      <c r="E195" s="434" t="s">
        <v>17</v>
      </c>
      <c r="F195" s="434" t="s">
        <v>20</v>
      </c>
      <c r="G195" s="435">
        <v>1.05</v>
      </c>
      <c r="H195" s="417">
        <f>H194*G195</f>
        <v>117.23250000000002</v>
      </c>
      <c r="I195" s="417"/>
      <c r="J195" s="418"/>
      <c r="K195" s="11">
        <f t="shared" si="35"/>
        <v>117.233</v>
      </c>
      <c r="L195" s="419"/>
      <c r="M195" s="420"/>
      <c r="N195" s="65">
        <f t="shared" ref="N195" si="44">L195+M195</f>
        <v>0</v>
      </c>
      <c r="O195" s="188">
        <f t="shared" ref="O195" si="45">L195*K195</f>
        <v>0</v>
      </c>
      <c r="P195" s="67">
        <f t="shared" ref="P195" si="46">M195*K195</f>
        <v>0</v>
      </c>
      <c r="Q195" s="68">
        <f t="shared" ref="Q195" si="47">O195+P195</f>
        <v>0</v>
      </c>
      <c r="R195" s="421"/>
      <c r="S195" s="291"/>
      <c r="T195" s="291"/>
    </row>
    <row r="196" spans="1:20" s="288" customFormat="1" ht="20.25" customHeight="1" x14ac:dyDescent="0.25">
      <c r="A196" s="367" t="s">
        <v>391</v>
      </c>
      <c r="B196" s="359" t="s">
        <v>405</v>
      </c>
      <c r="C196" s="360"/>
      <c r="D196" s="382" t="s">
        <v>386</v>
      </c>
      <c r="E196" s="361" t="s">
        <v>17</v>
      </c>
      <c r="F196" s="362" t="s">
        <v>392</v>
      </c>
      <c r="G196" s="363"/>
      <c r="H196" s="381">
        <v>1</v>
      </c>
      <c r="I196" s="381"/>
      <c r="J196" s="371"/>
      <c r="K196" s="11">
        <f t="shared" si="35"/>
        <v>1</v>
      </c>
      <c r="L196" s="389"/>
      <c r="M196" s="364"/>
      <c r="N196" s="383">
        <f t="shared" si="36"/>
        <v>0</v>
      </c>
      <c r="O196" s="384">
        <f>L196*K196</f>
        <v>0</v>
      </c>
      <c r="P196" s="385">
        <f t="shared" si="38"/>
        <v>0</v>
      </c>
      <c r="Q196" s="386">
        <f t="shared" si="39"/>
        <v>0</v>
      </c>
      <c r="R196" s="365"/>
      <c r="S196" s="366"/>
      <c r="T196" s="366"/>
    </row>
    <row r="197" spans="1:20" s="375" customFormat="1" ht="22.5" customHeight="1" x14ac:dyDescent="0.2">
      <c r="A197" s="367" t="s">
        <v>397</v>
      </c>
      <c r="B197" s="368" t="s">
        <v>383</v>
      </c>
      <c r="C197" s="360"/>
      <c r="D197" s="376" t="s">
        <v>382</v>
      </c>
      <c r="E197" s="369" t="s">
        <v>17</v>
      </c>
      <c r="F197" s="370" t="s">
        <v>383</v>
      </c>
      <c r="G197" s="377"/>
      <c r="H197" s="377">
        <v>14</v>
      </c>
      <c r="I197" s="377"/>
      <c r="J197" s="377"/>
      <c r="K197" s="11">
        <f t="shared" si="35"/>
        <v>14</v>
      </c>
      <c r="L197" s="390"/>
      <c r="M197" s="372"/>
      <c r="N197" s="383">
        <f t="shared" si="36"/>
        <v>0</v>
      </c>
      <c r="O197" s="384">
        <f t="shared" si="37"/>
        <v>0</v>
      </c>
      <c r="P197" s="385">
        <f t="shared" si="38"/>
        <v>0</v>
      </c>
      <c r="Q197" s="386">
        <f t="shared" si="39"/>
        <v>0</v>
      </c>
      <c r="R197" s="373"/>
      <c r="S197" s="374"/>
      <c r="T197" s="374"/>
    </row>
    <row r="198" spans="1:20" s="103" customFormat="1" ht="33.75" customHeight="1" x14ac:dyDescent="0.25">
      <c r="A198" s="352" t="s">
        <v>398</v>
      </c>
      <c r="B198" s="353"/>
      <c r="C198" s="354"/>
      <c r="D198" s="380" t="s">
        <v>384</v>
      </c>
      <c r="E198" s="61" t="s">
        <v>17</v>
      </c>
      <c r="F198" s="355" t="s">
        <v>389</v>
      </c>
      <c r="G198" s="391"/>
      <c r="H198" s="391">
        <v>14</v>
      </c>
      <c r="I198" s="378"/>
      <c r="J198" s="379"/>
      <c r="K198" s="521">
        <f t="shared" ref="K198:K201" si="48">H198</f>
        <v>14</v>
      </c>
      <c r="L198" s="356"/>
      <c r="M198" s="357"/>
      <c r="N198" s="522"/>
      <c r="O198" s="188"/>
      <c r="P198" s="67"/>
      <c r="Q198" s="68"/>
      <c r="R198" s="358"/>
      <c r="S198" s="291"/>
      <c r="T198" s="291"/>
    </row>
    <row r="199" spans="1:20" s="103" customFormat="1" ht="20.25" customHeight="1" x14ac:dyDescent="0.25">
      <c r="A199" s="352" t="s">
        <v>399</v>
      </c>
      <c r="B199" s="353"/>
      <c r="C199" s="354"/>
      <c r="D199" s="387" t="s">
        <v>387</v>
      </c>
      <c r="E199" s="61" t="s">
        <v>17</v>
      </c>
      <c r="F199" s="355" t="s">
        <v>389</v>
      </c>
      <c r="G199" s="391"/>
      <c r="H199" s="391">
        <v>14</v>
      </c>
      <c r="I199" s="378"/>
      <c r="J199" s="379"/>
      <c r="K199" s="521">
        <f t="shared" si="48"/>
        <v>14</v>
      </c>
      <c r="L199" s="356"/>
      <c r="M199" s="357"/>
      <c r="N199" s="522"/>
      <c r="O199" s="188"/>
      <c r="P199" s="67"/>
      <c r="Q199" s="68"/>
      <c r="R199" s="358"/>
      <c r="S199" s="291"/>
      <c r="T199" s="291"/>
    </row>
    <row r="200" spans="1:20" s="103" customFormat="1" ht="20.25" customHeight="1" x14ac:dyDescent="0.25">
      <c r="A200" s="352" t="s">
        <v>400</v>
      </c>
      <c r="B200" s="353"/>
      <c r="C200" s="354"/>
      <c r="D200" s="388" t="s">
        <v>385</v>
      </c>
      <c r="E200" s="61" t="s">
        <v>17</v>
      </c>
      <c r="F200" s="355" t="s">
        <v>389</v>
      </c>
      <c r="G200" s="391"/>
      <c r="H200" s="391">
        <v>14</v>
      </c>
      <c r="I200" s="378"/>
      <c r="J200" s="379"/>
      <c r="K200" s="521">
        <f t="shared" si="48"/>
        <v>14</v>
      </c>
      <c r="L200" s="356"/>
      <c r="M200" s="357"/>
      <c r="N200" s="522"/>
      <c r="O200" s="188"/>
      <c r="P200" s="67"/>
      <c r="Q200" s="68"/>
      <c r="R200" s="358"/>
      <c r="S200" s="291"/>
      <c r="T200" s="291"/>
    </row>
    <row r="201" spans="1:20" s="103" customFormat="1" ht="20.25" customHeight="1" x14ac:dyDescent="0.25">
      <c r="A201" s="352" t="s">
        <v>401</v>
      </c>
      <c r="B201" s="353"/>
      <c r="C201" s="354"/>
      <c r="D201" s="103" t="s">
        <v>388</v>
      </c>
      <c r="E201" s="61" t="s">
        <v>17</v>
      </c>
      <c r="F201" s="355" t="s">
        <v>389</v>
      </c>
      <c r="G201" s="391"/>
      <c r="H201" s="391">
        <v>14</v>
      </c>
      <c r="I201" s="378"/>
      <c r="J201" s="379"/>
      <c r="K201" s="521">
        <f t="shared" si="48"/>
        <v>14</v>
      </c>
      <c r="L201" s="356"/>
      <c r="M201" s="357"/>
      <c r="N201" s="522"/>
      <c r="O201" s="188"/>
      <c r="P201" s="67"/>
      <c r="Q201" s="68"/>
      <c r="R201" s="358"/>
      <c r="S201" s="291"/>
      <c r="T201" s="291"/>
    </row>
    <row r="202" spans="1:20" x14ac:dyDescent="0.25">
      <c r="A202" s="12"/>
      <c r="B202" s="215"/>
      <c r="C202" s="209"/>
      <c r="D202" s="1" t="s">
        <v>24</v>
      </c>
      <c r="E202" s="1"/>
      <c r="F202" s="1"/>
      <c r="G202" s="324"/>
      <c r="H202" s="8"/>
      <c r="I202" s="8"/>
      <c r="J202" s="8"/>
      <c r="K202" s="2"/>
      <c r="L202" s="6"/>
      <c r="M202" s="2"/>
      <c r="N202" s="2"/>
      <c r="O202" s="2"/>
      <c r="P202" s="2"/>
      <c r="Q202" s="5">
        <f>SUM(Q13:Q197)</f>
        <v>0</v>
      </c>
      <c r="R202" s="298"/>
    </row>
    <row r="203" spans="1:20" ht="15.75" thickBot="1" x14ac:dyDescent="0.3">
      <c r="A203" s="107"/>
      <c r="B203" s="194"/>
      <c r="C203" s="108"/>
      <c r="D203" s="3" t="s">
        <v>26</v>
      </c>
      <c r="E203" s="3"/>
      <c r="F203" s="3"/>
      <c r="G203" s="325"/>
      <c r="H203" s="9"/>
      <c r="I203" s="9"/>
      <c r="J203" s="9"/>
      <c r="K203" s="2"/>
      <c r="L203" s="7"/>
      <c r="M203" s="4"/>
      <c r="N203" s="109"/>
      <c r="O203" s="109"/>
      <c r="P203" s="4"/>
      <c r="Q203" s="110">
        <f>Q202/1.22*0.22</f>
        <v>0</v>
      </c>
      <c r="R203" s="298"/>
    </row>
    <row r="205" spans="1:20" ht="24.75" customHeight="1" x14ac:dyDescent="0.25">
      <c r="A205" s="111" t="s">
        <v>25</v>
      </c>
      <c r="B205" s="111"/>
    </row>
    <row r="206" spans="1:20" s="113" customFormat="1" ht="40.5" customHeight="1" x14ac:dyDescent="0.25">
      <c r="A206" s="524" t="s">
        <v>176</v>
      </c>
      <c r="B206" s="524"/>
      <c r="C206" s="524"/>
      <c r="D206" s="524"/>
      <c r="E206" s="524"/>
      <c r="F206" s="524"/>
      <c r="G206" s="524"/>
      <c r="H206" s="524"/>
      <c r="I206" s="524"/>
      <c r="J206" s="524"/>
      <c r="K206" s="524"/>
      <c r="L206" s="524"/>
      <c r="M206" s="524"/>
      <c r="N206" s="524"/>
      <c r="O206" s="524"/>
      <c r="P206" s="524"/>
      <c r="Q206" s="524"/>
      <c r="R206" s="18"/>
      <c r="S206" s="18"/>
      <c r="T206" s="18"/>
    </row>
    <row r="207" spans="1:20" s="113" customFormat="1" ht="24" customHeight="1" x14ac:dyDescent="0.25">
      <c r="A207" s="525" t="s">
        <v>166</v>
      </c>
      <c r="B207" s="525"/>
      <c r="C207" s="525"/>
      <c r="D207" s="525"/>
      <c r="E207" s="525"/>
      <c r="F207" s="525"/>
      <c r="G207" s="525"/>
      <c r="H207" s="525"/>
      <c r="I207" s="525"/>
      <c r="J207" s="525"/>
      <c r="K207" s="525"/>
      <c r="L207" s="525"/>
      <c r="M207" s="525"/>
      <c r="N207" s="525"/>
      <c r="O207" s="525"/>
      <c r="P207" s="525"/>
      <c r="Q207" s="525"/>
      <c r="R207" s="18"/>
      <c r="S207" s="18"/>
      <c r="T207" s="18"/>
    </row>
    <row r="208" spans="1:20" s="113" customFormat="1" ht="42.75" customHeight="1" x14ac:dyDescent="0.25">
      <c r="A208" s="525" t="s">
        <v>167</v>
      </c>
      <c r="B208" s="525"/>
      <c r="C208" s="525"/>
      <c r="D208" s="525"/>
      <c r="E208" s="525"/>
      <c r="F208" s="525"/>
      <c r="G208" s="525"/>
      <c r="H208" s="525"/>
      <c r="I208" s="525"/>
      <c r="J208" s="525"/>
      <c r="K208" s="525"/>
      <c r="L208" s="525"/>
      <c r="M208" s="525"/>
      <c r="N208" s="525"/>
      <c r="O208" s="525"/>
      <c r="P208" s="525"/>
      <c r="Q208" s="525"/>
      <c r="R208" s="18"/>
      <c r="S208" s="18"/>
      <c r="T208" s="18"/>
    </row>
    <row r="209" spans="1:20" s="113" customFormat="1" ht="27.75" customHeight="1" x14ac:dyDescent="0.25">
      <c r="A209" s="525" t="s">
        <v>168</v>
      </c>
      <c r="B209" s="525"/>
      <c r="C209" s="525"/>
      <c r="D209" s="525"/>
      <c r="E209" s="525"/>
      <c r="F209" s="525"/>
      <c r="G209" s="525"/>
      <c r="H209" s="525"/>
      <c r="I209" s="525"/>
      <c r="J209" s="525"/>
      <c r="K209" s="525"/>
      <c r="L209" s="525"/>
      <c r="M209" s="525"/>
      <c r="N209" s="525"/>
      <c r="O209" s="525"/>
      <c r="P209" s="525"/>
      <c r="Q209" s="525"/>
      <c r="R209" s="18"/>
      <c r="S209" s="18"/>
      <c r="T209" s="18"/>
    </row>
    <row r="210" spans="1:20" s="182" customFormat="1" ht="21" customHeight="1" x14ac:dyDescent="0.25">
      <c r="A210" s="526" t="s">
        <v>169</v>
      </c>
      <c r="B210" s="526"/>
      <c r="C210" s="526"/>
      <c r="D210" s="526"/>
      <c r="E210" s="526"/>
      <c r="F210" s="526"/>
      <c r="G210" s="526"/>
      <c r="H210" s="526"/>
      <c r="I210" s="526"/>
      <c r="J210" s="526"/>
      <c r="K210" s="526"/>
      <c r="L210" s="526"/>
      <c r="M210" s="526"/>
      <c r="N210" s="526"/>
      <c r="O210" s="526"/>
      <c r="P210" s="526"/>
      <c r="Q210" s="526"/>
      <c r="R210" s="526"/>
      <c r="S210" s="317"/>
      <c r="T210" s="317"/>
    </row>
    <row r="211" spans="1:20" s="182" customFormat="1" ht="25.5" customHeight="1" x14ac:dyDescent="0.25">
      <c r="A211" s="190" t="s">
        <v>175</v>
      </c>
      <c r="B211" s="190"/>
      <c r="C211" s="181"/>
      <c r="G211" s="243"/>
      <c r="R211" s="318"/>
      <c r="S211" s="317"/>
      <c r="T211" s="317"/>
    </row>
    <row r="214" spans="1:20" s="398" customFormat="1" ht="15.75" x14ac:dyDescent="0.25">
      <c r="A214" s="392" t="s">
        <v>123</v>
      </c>
      <c r="B214" s="392"/>
      <c r="C214" s="393"/>
      <c r="D214" s="392"/>
      <c r="E214" s="393"/>
      <c r="F214" s="394"/>
      <c r="G214" s="395"/>
      <c r="H214" s="394"/>
      <c r="I214" s="394"/>
      <c r="J214" s="394"/>
      <c r="K214" s="394"/>
      <c r="L214" s="396"/>
      <c r="M214" s="394"/>
      <c r="N214" s="397"/>
      <c r="O214" s="397"/>
      <c r="R214" s="399"/>
      <c r="S214" s="400"/>
      <c r="T214" s="400"/>
    </row>
    <row r="215" spans="1:20" s="403" customFormat="1" ht="15.75" x14ac:dyDescent="0.25">
      <c r="A215" s="401" t="s">
        <v>124</v>
      </c>
      <c r="B215" s="401"/>
      <c r="C215" s="402"/>
      <c r="E215" s="402"/>
      <c r="F215" s="404"/>
      <c r="G215" s="404"/>
      <c r="H215" s="404"/>
      <c r="I215" s="404"/>
      <c r="J215" s="404"/>
      <c r="K215" s="404"/>
      <c r="L215" s="404"/>
      <c r="M215" s="404"/>
      <c r="N215" s="404"/>
      <c r="O215" s="404"/>
      <c r="R215" s="405"/>
      <c r="S215" s="406"/>
      <c r="T215" s="406"/>
    </row>
    <row r="216" spans="1:20" s="403" customFormat="1" ht="15.75" x14ac:dyDescent="0.25">
      <c r="A216" s="401" t="s">
        <v>125</v>
      </c>
      <c r="B216" s="401"/>
      <c r="C216" s="407"/>
      <c r="D216" s="401"/>
      <c r="E216" s="407"/>
      <c r="F216" s="395"/>
      <c r="G216" s="395"/>
      <c r="H216" s="395"/>
      <c r="I216" s="395"/>
      <c r="J216" s="395"/>
      <c r="K216" s="395"/>
      <c r="L216" s="408"/>
      <c r="M216" s="395"/>
      <c r="N216" s="404"/>
      <c r="O216" s="404"/>
      <c r="R216" s="405"/>
      <c r="S216" s="406"/>
      <c r="T216" s="406"/>
    </row>
    <row r="217" spans="1:20" s="403" customFormat="1" ht="15.75" x14ac:dyDescent="0.25">
      <c r="A217" s="409" t="s">
        <v>126</v>
      </c>
      <c r="B217" s="409"/>
      <c r="C217" s="410"/>
      <c r="D217" s="409"/>
      <c r="E217" s="407"/>
      <c r="F217" s="395"/>
      <c r="G217" s="395"/>
      <c r="H217" s="395"/>
      <c r="I217" s="395"/>
      <c r="J217" s="395"/>
      <c r="K217" s="395"/>
      <c r="L217" s="408"/>
      <c r="M217" s="395"/>
      <c r="N217" s="404"/>
      <c r="O217" s="404"/>
      <c r="R217" s="405"/>
      <c r="S217" s="406"/>
      <c r="T217" s="406"/>
    </row>
    <row r="218" spans="1:20" s="403" customFormat="1" ht="15.75" x14ac:dyDescent="0.25">
      <c r="A218" s="409" t="s">
        <v>127</v>
      </c>
      <c r="B218" s="409"/>
      <c r="C218" s="410"/>
      <c r="D218" s="409"/>
      <c r="E218" s="407"/>
      <c r="F218" s="395"/>
      <c r="G218" s="395"/>
      <c r="H218" s="395"/>
      <c r="I218" s="395"/>
      <c r="J218" s="395"/>
      <c r="K218" s="395"/>
      <c r="L218" s="408"/>
      <c r="M218" s="395"/>
      <c r="N218" s="404"/>
      <c r="O218" s="404"/>
      <c r="R218" s="405"/>
      <c r="S218" s="406"/>
      <c r="T218" s="406"/>
    </row>
    <row r="219" spans="1:20" s="403" customFormat="1" ht="20.25" customHeight="1" x14ac:dyDescent="0.25">
      <c r="A219" s="523" t="s">
        <v>393</v>
      </c>
      <c r="B219" s="523"/>
      <c r="C219" s="523"/>
      <c r="D219" s="523"/>
      <c r="E219" s="407"/>
      <c r="F219" s="395"/>
      <c r="G219" s="395"/>
      <c r="H219" s="395"/>
      <c r="I219" s="395"/>
      <c r="J219" s="395"/>
      <c r="K219" s="395"/>
      <c r="L219" s="408"/>
      <c r="M219" s="395"/>
      <c r="N219" s="404"/>
      <c r="O219" s="404"/>
      <c r="R219" s="405"/>
      <c r="S219" s="406"/>
      <c r="T219" s="406"/>
    </row>
    <row r="220" spans="1:20" s="403" customFormat="1" ht="19.5" customHeight="1" x14ac:dyDescent="0.25">
      <c r="A220" s="523" t="s">
        <v>395</v>
      </c>
      <c r="B220" s="523"/>
      <c r="C220" s="523"/>
      <c r="D220" s="523"/>
      <c r="E220" s="411"/>
      <c r="F220" s="395"/>
      <c r="G220" s="395"/>
      <c r="H220" s="395"/>
      <c r="I220" s="395"/>
      <c r="J220" s="395"/>
      <c r="K220" s="395"/>
      <c r="L220" s="408"/>
      <c r="M220" s="395"/>
      <c r="N220" s="404"/>
      <c r="O220" s="404"/>
      <c r="R220" s="405"/>
      <c r="S220" s="406"/>
      <c r="T220" s="406"/>
    </row>
    <row r="221" spans="1:20" s="403" customFormat="1" ht="19.5" customHeight="1" x14ac:dyDescent="0.25">
      <c r="A221" s="409" t="s">
        <v>394</v>
      </c>
      <c r="B221" s="412"/>
      <c r="C221" s="412"/>
      <c r="D221" s="412"/>
      <c r="E221" s="411"/>
      <c r="F221" s="395"/>
      <c r="G221" s="395"/>
      <c r="H221" s="395"/>
      <c r="I221" s="395"/>
      <c r="J221" s="395"/>
      <c r="K221" s="395"/>
      <c r="L221" s="408"/>
      <c r="M221" s="395"/>
      <c r="N221" s="404"/>
      <c r="O221" s="404"/>
      <c r="R221" s="405"/>
      <c r="S221" s="406"/>
      <c r="T221" s="406"/>
    </row>
    <row r="222" spans="1:20" s="403" customFormat="1" ht="15.75" x14ac:dyDescent="0.25">
      <c r="A222" s="409" t="s">
        <v>128</v>
      </c>
      <c r="B222" s="409"/>
      <c r="C222" s="410"/>
      <c r="D222" s="409"/>
      <c r="E222" s="407"/>
      <c r="F222" s="395"/>
      <c r="G222" s="395"/>
      <c r="H222" s="395"/>
      <c r="I222" s="395"/>
      <c r="J222" s="395"/>
      <c r="K222" s="395"/>
      <c r="L222" s="408"/>
      <c r="M222" s="395"/>
      <c r="N222" s="404"/>
      <c r="O222" s="404"/>
      <c r="R222" s="405"/>
      <c r="S222" s="406"/>
      <c r="T222" s="406"/>
    </row>
    <row r="223" spans="1:20" s="403" customFormat="1" ht="15.75" x14ac:dyDescent="0.25">
      <c r="A223" s="409" t="s">
        <v>129</v>
      </c>
      <c r="B223" s="409"/>
      <c r="C223" s="410"/>
      <c r="D223" s="409"/>
      <c r="E223" s="407"/>
      <c r="F223" s="395"/>
      <c r="G223" s="395"/>
      <c r="H223" s="395"/>
      <c r="I223" s="395"/>
      <c r="J223" s="395"/>
      <c r="K223" s="395"/>
      <c r="L223" s="395"/>
      <c r="M223" s="395"/>
      <c r="N223" s="404"/>
      <c r="O223" s="404"/>
      <c r="R223" s="405"/>
      <c r="S223" s="406"/>
      <c r="T223" s="406"/>
    </row>
    <row r="224" spans="1:20" s="403" customFormat="1" ht="15.75" x14ac:dyDescent="0.25">
      <c r="A224" s="409" t="s">
        <v>130</v>
      </c>
      <c r="B224" s="409"/>
      <c r="C224" s="410"/>
      <c r="D224" s="409"/>
      <c r="E224" s="407"/>
      <c r="F224" s="395"/>
      <c r="G224" s="395"/>
      <c r="H224" s="395"/>
      <c r="I224" s="395"/>
      <c r="J224" s="395"/>
      <c r="K224" s="395"/>
      <c r="L224" s="395"/>
      <c r="M224" s="395"/>
      <c r="N224" s="404"/>
      <c r="O224" s="404"/>
      <c r="R224" s="405"/>
      <c r="S224" s="406"/>
      <c r="T224" s="406"/>
    </row>
    <row r="225" spans="1:20" s="403" customFormat="1" ht="15.75" x14ac:dyDescent="0.25">
      <c r="A225" s="409" t="s">
        <v>131</v>
      </c>
      <c r="B225" s="409"/>
      <c r="C225" s="410"/>
      <c r="D225" s="409"/>
      <c r="E225" s="407"/>
      <c r="F225" s="395"/>
      <c r="G225" s="395"/>
      <c r="H225" s="395"/>
      <c r="I225" s="395"/>
      <c r="J225" s="395"/>
      <c r="K225" s="395"/>
      <c r="L225" s="408"/>
      <c r="M225" s="395"/>
      <c r="N225" s="404"/>
      <c r="O225" s="404"/>
      <c r="R225" s="405"/>
      <c r="S225" s="406"/>
      <c r="T225" s="406"/>
    </row>
    <row r="226" spans="1:20" s="402" customFormat="1" ht="15.75" x14ac:dyDescent="0.25">
      <c r="A226" s="409" t="s">
        <v>132</v>
      </c>
      <c r="B226" s="409"/>
      <c r="C226" s="410"/>
      <c r="D226" s="410"/>
      <c r="E226" s="407"/>
      <c r="F226" s="395"/>
      <c r="G226" s="395"/>
      <c r="H226" s="395"/>
      <c r="I226" s="395"/>
      <c r="J226" s="395"/>
      <c r="K226" s="395"/>
      <c r="L226" s="395"/>
      <c r="M226" s="395"/>
      <c r="N226" s="404"/>
      <c r="O226" s="404"/>
      <c r="R226" s="413"/>
      <c r="S226" s="414"/>
      <c r="T226" s="414"/>
    </row>
    <row r="227" spans="1:20" s="402" customFormat="1" ht="15.75" x14ac:dyDescent="0.25">
      <c r="A227" s="409" t="s">
        <v>133</v>
      </c>
      <c r="B227" s="409"/>
      <c r="C227" s="410"/>
      <c r="D227" s="410"/>
      <c r="E227" s="407"/>
      <c r="F227" s="395"/>
      <c r="G227" s="395"/>
      <c r="H227" s="395"/>
      <c r="I227" s="395"/>
      <c r="J227" s="395"/>
      <c r="K227" s="395"/>
      <c r="L227" s="395"/>
      <c r="M227" s="395"/>
      <c r="N227" s="404"/>
      <c r="O227" s="404"/>
      <c r="R227" s="413"/>
      <c r="S227" s="414"/>
      <c r="T227" s="414"/>
    </row>
    <row r="228" spans="1:20" s="403" customFormat="1" ht="15.75" x14ac:dyDescent="0.25">
      <c r="A228" s="409" t="s">
        <v>134</v>
      </c>
      <c r="B228" s="409"/>
      <c r="C228" s="410"/>
      <c r="D228" s="409"/>
      <c r="E228" s="407"/>
      <c r="F228" s="395"/>
      <c r="G228" s="395"/>
      <c r="H228" s="395"/>
      <c r="I228" s="395"/>
      <c r="J228" s="395"/>
      <c r="K228" s="395"/>
      <c r="L228" s="408"/>
      <c r="M228" s="395"/>
      <c r="N228" s="404"/>
      <c r="O228" s="404"/>
      <c r="R228" s="405"/>
      <c r="S228" s="406"/>
      <c r="T228" s="406"/>
    </row>
    <row r="229" spans="1:20" s="403" customFormat="1" ht="15.75" x14ac:dyDescent="0.25">
      <c r="A229" s="409" t="s">
        <v>135</v>
      </c>
      <c r="B229" s="409"/>
      <c r="C229" s="410"/>
      <c r="D229" s="409"/>
      <c r="E229" s="407"/>
      <c r="F229" s="395"/>
      <c r="G229" s="395"/>
      <c r="H229" s="395"/>
      <c r="I229" s="395"/>
      <c r="J229" s="395"/>
      <c r="K229" s="395"/>
      <c r="L229" s="395"/>
      <c r="M229" s="395"/>
      <c r="N229" s="404"/>
      <c r="O229" s="404"/>
      <c r="R229" s="405"/>
      <c r="S229" s="406"/>
      <c r="T229" s="406"/>
    </row>
    <row r="230" spans="1:20" s="403" customFormat="1" ht="15.75" x14ac:dyDescent="0.25">
      <c r="A230" s="409" t="s">
        <v>136</v>
      </c>
      <c r="B230" s="409"/>
      <c r="C230" s="410"/>
      <c r="D230" s="409"/>
      <c r="E230" s="407"/>
      <c r="F230" s="395"/>
      <c r="G230" s="395"/>
      <c r="H230" s="395"/>
      <c r="I230" s="395"/>
      <c r="J230" s="395"/>
      <c r="K230" s="395"/>
      <c r="L230" s="408"/>
      <c r="M230" s="395"/>
      <c r="N230" s="404"/>
      <c r="O230" s="404"/>
      <c r="R230" s="405"/>
      <c r="S230" s="406"/>
      <c r="T230" s="406"/>
    </row>
    <row r="231" spans="1:20" s="403" customFormat="1" ht="15.75" x14ac:dyDescent="0.25">
      <c r="A231" s="409" t="s">
        <v>137</v>
      </c>
      <c r="B231" s="409"/>
      <c r="C231" s="410"/>
      <c r="D231" s="409"/>
      <c r="E231" s="407"/>
      <c r="F231" s="395"/>
      <c r="G231" s="395"/>
      <c r="H231" s="395"/>
      <c r="I231" s="395"/>
      <c r="J231" s="395"/>
      <c r="K231" s="395"/>
      <c r="L231" s="395"/>
      <c r="M231" s="395"/>
      <c r="N231" s="404"/>
      <c r="O231" s="404"/>
      <c r="R231" s="405"/>
      <c r="S231" s="406"/>
      <c r="T231" s="406"/>
    </row>
    <row r="232" spans="1:20" s="403" customFormat="1" ht="15.75" x14ac:dyDescent="0.25">
      <c r="A232" s="409" t="s">
        <v>138</v>
      </c>
      <c r="B232" s="409"/>
      <c r="C232" s="410"/>
      <c r="D232" s="409"/>
      <c r="E232" s="407"/>
      <c r="F232" s="395"/>
      <c r="G232" s="395"/>
      <c r="H232" s="395"/>
      <c r="I232" s="395"/>
      <c r="J232" s="395"/>
      <c r="K232" s="395"/>
      <c r="L232" s="408"/>
      <c r="M232" s="395"/>
      <c r="N232" s="404"/>
      <c r="O232" s="404"/>
      <c r="R232" s="405"/>
      <c r="S232" s="406"/>
      <c r="T232" s="406"/>
    </row>
    <row r="233" spans="1:20" s="403" customFormat="1" ht="15.75" x14ac:dyDescent="0.25">
      <c r="A233" s="409" t="s">
        <v>139</v>
      </c>
      <c r="B233" s="409"/>
      <c r="C233" s="410"/>
      <c r="D233" s="409"/>
      <c r="E233" s="407"/>
      <c r="F233" s="395"/>
      <c r="G233" s="395"/>
      <c r="H233" s="395"/>
      <c r="I233" s="395"/>
      <c r="J233" s="395"/>
      <c r="K233" s="395"/>
      <c r="L233" s="408"/>
      <c r="M233" s="395"/>
      <c r="N233" s="404"/>
      <c r="O233" s="404"/>
      <c r="R233" s="405"/>
      <c r="S233" s="406"/>
      <c r="T233" s="406"/>
    </row>
    <row r="234" spans="1:20" s="403" customFormat="1" ht="15.75" x14ac:dyDescent="0.25">
      <c r="A234" s="409" t="s">
        <v>140</v>
      </c>
      <c r="B234" s="409"/>
      <c r="C234" s="410"/>
      <c r="D234" s="409"/>
      <c r="E234" s="407"/>
      <c r="F234" s="395"/>
      <c r="G234" s="395"/>
      <c r="H234" s="395"/>
      <c r="I234" s="395"/>
      <c r="J234" s="395"/>
      <c r="K234" s="395"/>
      <c r="L234" s="395"/>
      <c r="M234" s="395"/>
      <c r="N234" s="404"/>
      <c r="O234" s="404"/>
      <c r="R234" s="405"/>
      <c r="S234" s="406"/>
      <c r="T234" s="406"/>
    </row>
    <row r="235" spans="1:20" s="403" customFormat="1" ht="15.75" x14ac:dyDescent="0.25">
      <c r="A235" s="409" t="s">
        <v>141</v>
      </c>
      <c r="B235" s="409"/>
      <c r="C235" s="410"/>
      <c r="D235" s="409"/>
      <c r="E235" s="407"/>
      <c r="F235" s="395"/>
      <c r="G235" s="395"/>
      <c r="H235" s="395"/>
      <c r="I235" s="395"/>
      <c r="J235" s="395"/>
      <c r="K235" s="395"/>
      <c r="L235" s="395"/>
      <c r="M235" s="395"/>
      <c r="N235" s="404"/>
      <c r="O235" s="404"/>
      <c r="R235" s="405"/>
      <c r="S235" s="406"/>
      <c r="T235" s="406"/>
    </row>
    <row r="236" spans="1:20" s="403" customFormat="1" ht="15.75" x14ac:dyDescent="0.25">
      <c r="A236" s="409" t="s">
        <v>142</v>
      </c>
      <c r="B236" s="409"/>
      <c r="C236" s="410"/>
      <c r="D236" s="409"/>
      <c r="E236" s="407"/>
      <c r="F236" s="395"/>
      <c r="G236" s="395"/>
      <c r="H236" s="395"/>
      <c r="I236" s="395"/>
      <c r="J236" s="395"/>
      <c r="K236" s="395"/>
      <c r="L236" s="395"/>
      <c r="M236" s="395"/>
      <c r="N236" s="404"/>
      <c r="O236" s="404"/>
      <c r="R236" s="405"/>
      <c r="S236" s="406"/>
      <c r="T236" s="406"/>
    </row>
    <row r="237" spans="1:20" s="403" customFormat="1" ht="15.75" x14ac:dyDescent="0.25">
      <c r="A237" s="409" t="s">
        <v>143</v>
      </c>
      <c r="B237" s="409"/>
      <c r="C237" s="410"/>
      <c r="D237" s="409"/>
      <c r="E237" s="407"/>
      <c r="F237" s="395"/>
      <c r="G237" s="395"/>
      <c r="H237" s="395"/>
      <c r="I237" s="395"/>
      <c r="J237" s="395"/>
      <c r="K237" s="395"/>
      <c r="L237" s="395"/>
      <c r="M237" s="395"/>
      <c r="N237" s="404"/>
      <c r="O237" s="404"/>
      <c r="R237" s="405"/>
      <c r="S237" s="406"/>
      <c r="T237" s="406"/>
    </row>
    <row r="238" spans="1:20" s="403" customFormat="1" ht="15.75" x14ac:dyDescent="0.25">
      <c r="A238" s="409" t="s">
        <v>144</v>
      </c>
      <c r="B238" s="409"/>
      <c r="C238" s="410"/>
      <c r="D238" s="409"/>
      <c r="E238" s="407"/>
      <c r="F238" s="395"/>
      <c r="G238" s="395"/>
      <c r="H238" s="395"/>
      <c r="I238" s="395"/>
      <c r="J238" s="395"/>
      <c r="K238" s="395"/>
      <c r="L238" s="395"/>
      <c r="M238" s="395"/>
      <c r="N238" s="404"/>
      <c r="O238" s="404"/>
      <c r="R238" s="405"/>
      <c r="S238" s="406"/>
      <c r="T238" s="406"/>
    </row>
    <row r="239" spans="1:20" s="403" customFormat="1" ht="15.75" x14ac:dyDescent="0.25">
      <c r="A239" s="409" t="s">
        <v>145</v>
      </c>
      <c r="B239" s="409"/>
      <c r="C239" s="410"/>
      <c r="D239" s="409"/>
      <c r="E239" s="407"/>
      <c r="F239" s="395"/>
      <c r="G239" s="395"/>
      <c r="H239" s="395"/>
      <c r="I239" s="395"/>
      <c r="J239" s="395"/>
      <c r="K239" s="395"/>
      <c r="L239" s="395"/>
      <c r="M239" s="395"/>
      <c r="N239" s="404"/>
      <c r="O239" s="404"/>
      <c r="R239" s="405"/>
      <c r="S239" s="406"/>
      <c r="T239" s="406"/>
    </row>
    <row r="240" spans="1:20" s="403" customFormat="1" ht="15.75" x14ac:dyDescent="0.25">
      <c r="A240" s="409" t="s">
        <v>146</v>
      </c>
      <c r="B240" s="409"/>
      <c r="C240" s="410"/>
      <c r="D240" s="409"/>
      <c r="E240" s="407"/>
      <c r="F240" s="395"/>
      <c r="G240" s="395"/>
      <c r="H240" s="395"/>
      <c r="I240" s="395"/>
      <c r="J240" s="395"/>
      <c r="K240" s="395"/>
      <c r="L240" s="395"/>
      <c r="M240" s="395"/>
      <c r="N240" s="404"/>
      <c r="O240" s="404"/>
      <c r="R240" s="405"/>
      <c r="S240" s="406"/>
      <c r="T240" s="406"/>
    </row>
    <row r="241" spans="1:20" s="403" customFormat="1" ht="15.75" x14ac:dyDescent="0.25">
      <c r="A241" s="409" t="s">
        <v>147</v>
      </c>
      <c r="B241" s="409"/>
      <c r="C241" s="410"/>
      <c r="D241" s="409"/>
      <c r="E241" s="407"/>
      <c r="F241" s="395"/>
      <c r="G241" s="395"/>
      <c r="H241" s="395"/>
      <c r="I241" s="395"/>
      <c r="J241" s="395"/>
      <c r="K241" s="395"/>
      <c r="L241" s="395"/>
      <c r="M241" s="395"/>
      <c r="N241" s="404"/>
      <c r="O241" s="404"/>
      <c r="R241" s="405"/>
      <c r="S241" s="406"/>
      <c r="T241" s="406"/>
    </row>
    <row r="242" spans="1:20" s="120" customFormat="1" ht="15.75" x14ac:dyDescent="0.25">
      <c r="A242" s="116" t="s">
        <v>148</v>
      </c>
      <c r="B242" s="116"/>
      <c r="C242" s="126"/>
      <c r="D242" s="125"/>
      <c r="E242" s="122"/>
      <c r="F242" s="123"/>
      <c r="G242" s="123"/>
      <c r="H242" s="123"/>
      <c r="I242" s="123"/>
      <c r="J242" s="123"/>
      <c r="K242" s="123"/>
      <c r="L242" s="123"/>
      <c r="M242" s="123"/>
      <c r="N242" s="121"/>
      <c r="O242" s="121"/>
      <c r="R242" s="168"/>
      <c r="S242" s="169"/>
      <c r="T242" s="169"/>
    </row>
    <row r="243" spans="1:20" s="120" customFormat="1" ht="15.75" x14ac:dyDescent="0.25">
      <c r="A243" s="125" t="s">
        <v>149</v>
      </c>
      <c r="B243" s="125"/>
      <c r="C243" s="126"/>
      <c r="D243" s="125"/>
      <c r="E243" s="122"/>
      <c r="F243" s="123"/>
      <c r="G243" s="123"/>
      <c r="H243" s="123"/>
      <c r="I243" s="123"/>
      <c r="J243" s="123"/>
      <c r="K243" s="123"/>
      <c r="L243" s="123"/>
      <c r="M243" s="123"/>
      <c r="N243" s="121"/>
      <c r="O243" s="121"/>
      <c r="R243" s="168"/>
      <c r="S243" s="169"/>
      <c r="T243" s="169"/>
    </row>
    <row r="244" spans="1:20" s="120" customFormat="1" ht="15.75" x14ac:dyDescent="0.25">
      <c r="A244" s="125" t="s">
        <v>150</v>
      </c>
      <c r="B244" s="125"/>
      <c r="C244" s="126"/>
      <c r="D244" s="125"/>
      <c r="E244" s="122"/>
      <c r="F244" s="123"/>
      <c r="G244" s="123"/>
      <c r="H244" s="123"/>
      <c r="I244" s="123"/>
      <c r="J244" s="123"/>
      <c r="K244" s="123"/>
      <c r="L244" s="123"/>
      <c r="M244" s="123"/>
      <c r="N244" s="121"/>
      <c r="O244" s="121"/>
      <c r="R244" s="168"/>
      <c r="S244" s="169"/>
      <c r="T244" s="169"/>
    </row>
    <row r="245" spans="1:20" s="120" customFormat="1" ht="15.75" x14ac:dyDescent="0.25">
      <c r="A245" s="125" t="s">
        <v>151</v>
      </c>
      <c r="B245" s="125"/>
      <c r="C245" s="126"/>
      <c r="D245" s="125"/>
      <c r="E245" s="122"/>
      <c r="F245" s="123"/>
      <c r="G245" s="123"/>
      <c r="H245" s="123"/>
      <c r="I245" s="123"/>
      <c r="J245" s="123"/>
      <c r="K245" s="123"/>
      <c r="L245" s="123"/>
      <c r="M245" s="123"/>
      <c r="N245" s="121"/>
      <c r="O245" s="121"/>
      <c r="R245" s="168"/>
      <c r="S245" s="169"/>
      <c r="T245" s="169"/>
    </row>
    <row r="246" spans="1:20" s="120" customFormat="1" ht="15.75" x14ac:dyDescent="0.25">
      <c r="A246" s="125" t="s">
        <v>152</v>
      </c>
      <c r="B246" s="125"/>
      <c r="C246" s="126"/>
      <c r="D246" s="125"/>
      <c r="E246" s="122"/>
      <c r="F246" s="123"/>
      <c r="G246" s="123"/>
      <c r="H246" s="123"/>
      <c r="I246" s="123"/>
      <c r="J246" s="123"/>
      <c r="K246" s="123"/>
      <c r="L246" s="123"/>
      <c r="M246" s="123"/>
      <c r="N246" s="121"/>
      <c r="O246" s="121"/>
      <c r="R246" s="168"/>
      <c r="S246" s="169"/>
      <c r="T246" s="169"/>
    </row>
    <row r="247" spans="1:20" s="120" customFormat="1" ht="15.75" x14ac:dyDescent="0.25">
      <c r="A247" s="125" t="s">
        <v>153</v>
      </c>
      <c r="B247" s="125"/>
      <c r="C247" s="126"/>
      <c r="D247" s="125"/>
      <c r="E247" s="122"/>
      <c r="F247" s="123"/>
      <c r="G247" s="123"/>
      <c r="H247" s="123"/>
      <c r="I247" s="123"/>
      <c r="J247" s="123"/>
      <c r="K247" s="123"/>
      <c r="L247" s="123"/>
      <c r="M247" s="123"/>
      <c r="N247" s="121"/>
      <c r="O247" s="121"/>
      <c r="R247" s="168"/>
      <c r="S247" s="169"/>
      <c r="T247" s="169"/>
    </row>
    <row r="248" spans="1:20" s="120" customFormat="1" ht="15.75" x14ac:dyDescent="0.25">
      <c r="A248" s="125" t="s">
        <v>154</v>
      </c>
      <c r="B248" s="125"/>
      <c r="C248" s="126"/>
      <c r="D248" s="125"/>
      <c r="E248" s="122"/>
      <c r="F248" s="123"/>
      <c r="G248" s="123"/>
      <c r="H248" s="123"/>
      <c r="I248" s="123"/>
      <c r="J248" s="123"/>
      <c r="K248" s="123"/>
      <c r="L248" s="123"/>
      <c r="M248" s="123"/>
      <c r="N248" s="121"/>
      <c r="O248" s="121"/>
      <c r="R248" s="168"/>
      <c r="S248" s="169"/>
      <c r="T248" s="169"/>
    </row>
    <row r="249" spans="1:20" s="120" customFormat="1" ht="15.75" x14ac:dyDescent="0.25">
      <c r="A249" s="125" t="s">
        <v>155</v>
      </c>
      <c r="B249" s="125"/>
      <c r="C249" s="126"/>
      <c r="D249" s="125"/>
      <c r="E249" s="122"/>
      <c r="F249" s="123"/>
      <c r="G249" s="123"/>
      <c r="H249" s="123"/>
      <c r="I249" s="123"/>
      <c r="J249" s="123"/>
      <c r="K249" s="123"/>
      <c r="L249" s="123"/>
      <c r="M249" s="123"/>
      <c r="N249" s="121"/>
      <c r="O249" s="121"/>
      <c r="R249" s="168"/>
      <c r="S249" s="169"/>
      <c r="T249" s="169"/>
    </row>
    <row r="250" spans="1:20" s="119" customFormat="1" ht="15.75" x14ac:dyDescent="0.25">
      <c r="A250" s="125" t="s">
        <v>156</v>
      </c>
      <c r="B250" s="125"/>
      <c r="C250" s="126"/>
      <c r="D250" s="126"/>
      <c r="E250" s="122"/>
      <c r="F250" s="123"/>
      <c r="G250" s="123"/>
      <c r="H250" s="123"/>
      <c r="I250" s="123"/>
      <c r="J250" s="123"/>
      <c r="K250" s="123"/>
      <c r="L250" s="123"/>
      <c r="M250" s="123"/>
      <c r="N250" s="121"/>
      <c r="O250" s="121"/>
      <c r="R250" s="170"/>
      <c r="S250" s="171"/>
      <c r="T250" s="171"/>
    </row>
    <row r="251" spans="1:20" s="120" customFormat="1" ht="15.75" x14ac:dyDescent="0.25">
      <c r="A251" s="116" t="s">
        <v>157</v>
      </c>
      <c r="B251" s="116"/>
      <c r="C251" s="126"/>
      <c r="D251" s="116"/>
      <c r="E251" s="117"/>
      <c r="F251" s="123"/>
      <c r="G251" s="123"/>
      <c r="H251" s="123"/>
      <c r="I251" s="123"/>
      <c r="J251" s="123"/>
      <c r="K251" s="123"/>
      <c r="L251" s="124"/>
      <c r="M251" s="123"/>
      <c r="N251" s="121"/>
      <c r="O251" s="121"/>
      <c r="R251" s="168"/>
      <c r="S251" s="169"/>
      <c r="T251" s="169"/>
    </row>
    <row r="252" spans="1:20" s="120" customFormat="1" ht="15.75" x14ac:dyDescent="0.25">
      <c r="A252" s="125" t="s">
        <v>158</v>
      </c>
      <c r="B252" s="125"/>
      <c r="C252" s="126"/>
      <c r="D252" s="125"/>
      <c r="E252" s="122"/>
      <c r="F252" s="123"/>
      <c r="G252" s="123"/>
      <c r="H252" s="123"/>
      <c r="I252" s="123"/>
      <c r="J252" s="123"/>
      <c r="K252" s="123"/>
      <c r="L252" s="124"/>
      <c r="M252" s="123"/>
      <c r="N252" s="121"/>
      <c r="O252" s="121"/>
      <c r="R252" s="168"/>
      <c r="S252" s="169"/>
      <c r="T252" s="169"/>
    </row>
    <row r="253" spans="1:20" s="120" customFormat="1" ht="15.75" x14ac:dyDescent="0.25">
      <c r="A253" s="125" t="s">
        <v>159</v>
      </c>
      <c r="B253" s="125"/>
      <c r="C253" s="126"/>
      <c r="D253" s="125"/>
      <c r="E253" s="122"/>
      <c r="F253" s="123"/>
      <c r="G253" s="123"/>
      <c r="H253" s="123"/>
      <c r="I253" s="123"/>
      <c r="J253" s="123"/>
      <c r="K253" s="123"/>
      <c r="L253" s="123"/>
      <c r="M253" s="123"/>
      <c r="N253" s="121"/>
      <c r="O253" s="121"/>
      <c r="R253" s="168"/>
      <c r="S253" s="169"/>
      <c r="T253" s="169"/>
    </row>
    <row r="254" spans="1:20" s="120" customFormat="1" ht="15.75" x14ac:dyDescent="0.25">
      <c r="A254" s="125" t="s">
        <v>160</v>
      </c>
      <c r="B254" s="125"/>
      <c r="C254" s="122"/>
      <c r="D254" s="118"/>
      <c r="E254" s="122"/>
      <c r="F254" s="123"/>
      <c r="G254" s="123"/>
      <c r="H254" s="123"/>
      <c r="I254" s="123"/>
      <c r="J254" s="123"/>
      <c r="K254" s="123"/>
      <c r="L254" s="124"/>
      <c r="M254" s="123"/>
      <c r="N254" s="121"/>
      <c r="O254" s="121"/>
      <c r="R254" s="168"/>
      <c r="S254" s="169"/>
      <c r="T254" s="169"/>
    </row>
    <row r="255" spans="1:20" s="120" customFormat="1" ht="15.75" x14ac:dyDescent="0.25">
      <c r="C255" s="119"/>
      <c r="E255" s="119"/>
      <c r="F255" s="121"/>
      <c r="G255" s="121"/>
      <c r="H255" s="121"/>
      <c r="I255" s="121"/>
      <c r="J255" s="121"/>
      <c r="K255" s="121"/>
      <c r="L255" s="127"/>
      <c r="M255" s="121"/>
      <c r="N255" s="121"/>
      <c r="O255" s="121"/>
      <c r="R255" s="168"/>
      <c r="S255" s="169"/>
      <c r="T255" s="169"/>
    </row>
    <row r="256" spans="1:20" s="133" customFormat="1" ht="15.75" x14ac:dyDescent="0.25">
      <c r="A256" s="128" t="s">
        <v>161</v>
      </c>
      <c r="B256" s="128"/>
      <c r="C256" s="129"/>
      <c r="D256" s="130"/>
      <c r="E256" s="129"/>
      <c r="F256" s="131"/>
      <c r="G256" s="132"/>
      <c r="H256" s="131"/>
      <c r="I256" s="131"/>
      <c r="J256" s="131"/>
      <c r="K256" s="131"/>
      <c r="L256" s="132"/>
      <c r="M256" s="132"/>
      <c r="N256" s="132"/>
      <c r="O256" s="132"/>
      <c r="R256" s="172"/>
      <c r="S256" s="173"/>
      <c r="T256" s="173"/>
    </row>
    <row r="257" spans="3:20" s="135" customFormat="1" ht="15.75" x14ac:dyDescent="0.25">
      <c r="C257" s="134"/>
      <c r="E257" s="134"/>
      <c r="F257" s="136"/>
      <c r="G257" s="136"/>
      <c r="H257" s="136"/>
      <c r="I257" s="136"/>
      <c r="J257" s="136"/>
      <c r="K257" s="136"/>
      <c r="L257" s="137"/>
      <c r="M257" s="136"/>
      <c r="N257" s="136"/>
      <c r="O257" s="136"/>
      <c r="R257" s="174"/>
      <c r="S257" s="175"/>
      <c r="T257" s="175"/>
    </row>
  </sheetData>
  <sheetProtection sort="0" autoFilter="0"/>
  <autoFilter ref="A9:Q203" xr:uid="{00000000-0001-0000-0000-000000000000}">
    <filterColumn colId="11" showButton="0"/>
    <filterColumn colId="14" showButton="0"/>
  </autoFilter>
  <mergeCells count="23">
    <mergeCell ref="A4:Q4"/>
    <mergeCell ref="A5:Q5"/>
    <mergeCell ref="A6:Q6"/>
    <mergeCell ref="A8:A10"/>
    <mergeCell ref="C8:C10"/>
    <mergeCell ref="D8:D10"/>
    <mergeCell ref="E8:E10"/>
    <mergeCell ref="F8:F10"/>
    <mergeCell ref="G8:G10"/>
    <mergeCell ref="K8:K10"/>
    <mergeCell ref="L8:R8"/>
    <mergeCell ref="L9:M9"/>
    <mergeCell ref="N9:N10"/>
    <mergeCell ref="O9:P9"/>
    <mergeCell ref="Q9:Q10"/>
    <mergeCell ref="R9:R10"/>
    <mergeCell ref="A220:D220"/>
    <mergeCell ref="A219:D219"/>
    <mergeCell ref="A206:Q206"/>
    <mergeCell ref="A207:Q207"/>
    <mergeCell ref="A208:Q208"/>
    <mergeCell ref="A209:Q209"/>
    <mergeCell ref="A210:R210"/>
  </mergeCells>
  <phoneticPr fontId="39" type="noConversion"/>
  <pageMargins left="0.7" right="0.7" top="0.75" bottom="0.75" header="0.3" footer="0.3"/>
  <pageSetup paperSize="9" scale="2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976E6-1212-4053-9725-5D967005CC1F}">
  <dimension ref="A1:C87"/>
  <sheetViews>
    <sheetView topLeftCell="A55" workbookViewId="0">
      <selection activeCell="I81" sqref="I81"/>
    </sheetView>
  </sheetViews>
  <sheetFormatPr defaultRowHeight="15" x14ac:dyDescent="0.25"/>
  <cols>
    <col min="1" max="1" width="94.140625" bestFit="1" customWidth="1"/>
    <col min="2" max="2" width="25.140625" bestFit="1" customWidth="1"/>
    <col min="3" max="3" width="12" bestFit="1" customWidth="1"/>
  </cols>
  <sheetData>
    <row r="1" spans="1:3" x14ac:dyDescent="0.25">
      <c r="A1" s="519" t="s">
        <v>407</v>
      </c>
      <c r="B1" t="s">
        <v>414</v>
      </c>
    </row>
    <row r="3" spans="1:3" x14ac:dyDescent="0.25">
      <c r="A3" s="519" t="s">
        <v>412</v>
      </c>
    </row>
    <row r="4" spans="1:3" x14ac:dyDescent="0.25">
      <c r="A4" s="519" t="s">
        <v>4</v>
      </c>
      <c r="B4" s="519" t="s">
        <v>6</v>
      </c>
      <c r="C4" t="s">
        <v>413</v>
      </c>
    </row>
    <row r="5" spans="1:3" x14ac:dyDescent="0.25">
      <c r="A5" t="s">
        <v>34</v>
      </c>
      <c r="B5" t="s">
        <v>21</v>
      </c>
      <c r="C5" s="520">
        <v>1.0286640000000001E-2</v>
      </c>
    </row>
    <row r="6" spans="1:3" x14ac:dyDescent="0.25">
      <c r="A6" t="s">
        <v>61</v>
      </c>
      <c r="B6" t="s">
        <v>21</v>
      </c>
      <c r="C6" s="520">
        <v>4.5849024000000019E-3</v>
      </c>
    </row>
    <row r="7" spans="1:3" x14ac:dyDescent="0.25">
      <c r="A7" t="s">
        <v>235</v>
      </c>
      <c r="B7" t="s">
        <v>21</v>
      </c>
      <c r="C7" s="520">
        <v>4.4590000000000005E-2</v>
      </c>
    </row>
    <row r="8" spans="1:3" x14ac:dyDescent="0.25">
      <c r="A8" t="s">
        <v>242</v>
      </c>
      <c r="B8" t="s">
        <v>21</v>
      </c>
      <c r="C8" s="520">
        <v>3.3124000000000008E-2</v>
      </c>
    </row>
    <row r="9" spans="1:3" x14ac:dyDescent="0.25">
      <c r="A9" t="s">
        <v>219</v>
      </c>
      <c r="B9" t="s">
        <v>21</v>
      </c>
      <c r="C9" s="520">
        <v>0.1601418</v>
      </c>
    </row>
    <row r="10" spans="1:3" x14ac:dyDescent="0.25">
      <c r="A10" t="s">
        <v>236</v>
      </c>
      <c r="B10" t="s">
        <v>21</v>
      </c>
      <c r="C10" s="520">
        <v>6.0515000000000006E-2</v>
      </c>
    </row>
    <row r="11" spans="1:3" x14ac:dyDescent="0.25">
      <c r="A11" t="s">
        <v>220</v>
      </c>
      <c r="B11" t="s">
        <v>21</v>
      </c>
      <c r="C11" s="520">
        <v>6.2935600000000008E-2</v>
      </c>
    </row>
    <row r="12" spans="1:3" x14ac:dyDescent="0.25">
      <c r="A12" t="s">
        <v>224</v>
      </c>
      <c r="B12" t="s">
        <v>21</v>
      </c>
      <c r="C12" s="520">
        <v>0.12994800000000001</v>
      </c>
    </row>
    <row r="13" spans="1:3" x14ac:dyDescent="0.25">
      <c r="A13" t="s">
        <v>221</v>
      </c>
      <c r="B13" t="s">
        <v>21</v>
      </c>
      <c r="C13" s="520">
        <v>6.4974000000000004E-2</v>
      </c>
    </row>
    <row r="14" spans="1:3" x14ac:dyDescent="0.25">
      <c r="A14" t="s">
        <v>226</v>
      </c>
      <c r="B14" t="s">
        <v>21</v>
      </c>
      <c r="C14" s="520">
        <v>6.7394599999999999E-2</v>
      </c>
    </row>
    <row r="15" spans="1:3" x14ac:dyDescent="0.25">
      <c r="A15" t="s">
        <v>222</v>
      </c>
      <c r="B15" t="s">
        <v>21</v>
      </c>
      <c r="C15" s="520">
        <v>7.1089200000000005E-2</v>
      </c>
    </row>
    <row r="16" spans="1:3" x14ac:dyDescent="0.25">
      <c r="A16" t="s">
        <v>231</v>
      </c>
      <c r="B16" t="s">
        <v>21</v>
      </c>
      <c r="C16" s="520">
        <v>7.1089200000000005E-2</v>
      </c>
    </row>
    <row r="17" spans="1:3" x14ac:dyDescent="0.25">
      <c r="A17" t="s">
        <v>223</v>
      </c>
      <c r="B17" t="s">
        <v>21</v>
      </c>
      <c r="C17" s="520">
        <v>0.14727440000000003</v>
      </c>
    </row>
    <row r="18" spans="1:3" x14ac:dyDescent="0.25">
      <c r="A18" t="s">
        <v>227</v>
      </c>
      <c r="B18" t="s">
        <v>21</v>
      </c>
      <c r="C18" s="520">
        <v>0.1493128</v>
      </c>
    </row>
    <row r="19" spans="1:3" x14ac:dyDescent="0.25">
      <c r="A19" t="s">
        <v>237</v>
      </c>
      <c r="B19" t="s">
        <v>21</v>
      </c>
      <c r="C19" s="520">
        <v>7.5675599999999996E-2</v>
      </c>
    </row>
    <row r="20" spans="1:3" x14ac:dyDescent="0.25">
      <c r="A20" t="s">
        <v>232</v>
      </c>
      <c r="B20" t="s">
        <v>21</v>
      </c>
      <c r="C20" s="520">
        <v>7.6439999999999994E-2</v>
      </c>
    </row>
    <row r="21" spans="1:3" x14ac:dyDescent="0.25">
      <c r="A21" t="s">
        <v>233</v>
      </c>
      <c r="B21" t="s">
        <v>21</v>
      </c>
      <c r="C21" s="520">
        <v>7.8096200000000005E-2</v>
      </c>
    </row>
    <row r="22" spans="1:3" x14ac:dyDescent="0.25">
      <c r="A22" t="s">
        <v>225</v>
      </c>
      <c r="B22" t="s">
        <v>21</v>
      </c>
      <c r="C22" s="520">
        <v>0.15695680000000001</v>
      </c>
    </row>
    <row r="23" spans="1:3" x14ac:dyDescent="0.25">
      <c r="A23" t="s">
        <v>228</v>
      </c>
      <c r="B23" t="s">
        <v>21</v>
      </c>
      <c r="C23" s="520">
        <v>8.1535999999999997E-2</v>
      </c>
    </row>
    <row r="24" spans="1:3" x14ac:dyDescent="0.25">
      <c r="A24" t="s">
        <v>218</v>
      </c>
      <c r="B24" t="s">
        <v>21</v>
      </c>
      <c r="C24" s="520">
        <v>8.7906000000000012E-2</v>
      </c>
    </row>
    <row r="25" spans="1:3" x14ac:dyDescent="0.25">
      <c r="A25" t="s">
        <v>234</v>
      </c>
      <c r="B25" t="s">
        <v>21</v>
      </c>
      <c r="C25" s="520">
        <v>9.0963600000000006E-2</v>
      </c>
    </row>
    <row r="26" spans="1:3" x14ac:dyDescent="0.25">
      <c r="A26" t="s">
        <v>229</v>
      </c>
      <c r="B26" t="s">
        <v>21</v>
      </c>
      <c r="C26" s="520">
        <v>0.10192000000000001</v>
      </c>
    </row>
    <row r="27" spans="1:3" x14ac:dyDescent="0.25">
      <c r="A27" t="s">
        <v>230</v>
      </c>
      <c r="B27" t="s">
        <v>21</v>
      </c>
      <c r="C27" s="520">
        <v>0.10778040000000001</v>
      </c>
    </row>
    <row r="28" spans="1:3" x14ac:dyDescent="0.25">
      <c r="A28" t="s">
        <v>238</v>
      </c>
      <c r="B28" t="s">
        <v>21</v>
      </c>
      <c r="C28" s="520">
        <v>0.11083800000000001</v>
      </c>
    </row>
    <row r="29" spans="1:3" x14ac:dyDescent="0.25">
      <c r="A29" t="s">
        <v>243</v>
      </c>
      <c r="B29" t="s">
        <v>21</v>
      </c>
      <c r="C29" s="520">
        <v>1.4331200000000002E-3</v>
      </c>
    </row>
    <row r="30" spans="1:3" x14ac:dyDescent="0.25">
      <c r="A30" t="s">
        <v>65</v>
      </c>
      <c r="B30" t="s">
        <v>21</v>
      </c>
      <c r="C30" s="520">
        <v>3.0656105292800002</v>
      </c>
    </row>
    <row r="31" spans="1:3" x14ac:dyDescent="0.25">
      <c r="A31" t="s">
        <v>121</v>
      </c>
      <c r="B31" t="s">
        <v>18</v>
      </c>
      <c r="C31" s="520">
        <v>3793.7569999999996</v>
      </c>
    </row>
    <row r="32" spans="1:3" x14ac:dyDescent="0.25">
      <c r="A32" t="s">
        <v>409</v>
      </c>
      <c r="B32" t="s">
        <v>328</v>
      </c>
      <c r="C32" s="520">
        <v>2314</v>
      </c>
    </row>
    <row r="33" spans="1:3" x14ac:dyDescent="0.25">
      <c r="A33" t="s">
        <v>190</v>
      </c>
      <c r="B33" t="s">
        <v>19</v>
      </c>
      <c r="C33" s="520">
        <v>116165</v>
      </c>
    </row>
    <row r="34" spans="1:3" x14ac:dyDescent="0.25">
      <c r="A34" t="s">
        <v>303</v>
      </c>
      <c r="B34" t="s">
        <v>19</v>
      </c>
      <c r="C34" s="520">
        <v>5388</v>
      </c>
    </row>
    <row r="35" spans="1:3" x14ac:dyDescent="0.25">
      <c r="A35" t="s">
        <v>173</v>
      </c>
      <c r="B35" t="s">
        <v>23</v>
      </c>
      <c r="C35" s="520">
        <v>96380.1</v>
      </c>
    </row>
    <row r="36" spans="1:3" x14ac:dyDescent="0.25">
      <c r="A36" t="s">
        <v>200</v>
      </c>
      <c r="B36" t="s">
        <v>23</v>
      </c>
      <c r="C36" s="520">
        <v>27566</v>
      </c>
    </row>
    <row r="37" spans="1:3" x14ac:dyDescent="0.25">
      <c r="A37" t="s">
        <v>408</v>
      </c>
      <c r="B37" t="s">
        <v>20</v>
      </c>
      <c r="C37" s="520">
        <v>111.65</v>
      </c>
    </row>
    <row r="38" spans="1:3" x14ac:dyDescent="0.25">
      <c r="A38" t="s">
        <v>164</v>
      </c>
      <c r="B38" t="s">
        <v>19</v>
      </c>
      <c r="C38" s="520">
        <v>85</v>
      </c>
    </row>
    <row r="39" spans="1:3" x14ac:dyDescent="0.25">
      <c r="A39" t="s">
        <v>171</v>
      </c>
      <c r="B39" t="s">
        <v>19</v>
      </c>
      <c r="C39" s="520">
        <v>16</v>
      </c>
    </row>
    <row r="40" spans="1:3" x14ac:dyDescent="0.25">
      <c r="A40" t="s">
        <v>246</v>
      </c>
      <c r="B40" t="s">
        <v>19</v>
      </c>
      <c r="C40" s="520">
        <v>116</v>
      </c>
    </row>
    <row r="41" spans="1:3" x14ac:dyDescent="0.25">
      <c r="A41" t="s">
        <v>268</v>
      </c>
      <c r="B41" t="s">
        <v>19</v>
      </c>
      <c r="C41" s="520">
        <v>945</v>
      </c>
    </row>
    <row r="42" spans="1:3" x14ac:dyDescent="0.25">
      <c r="A42" t="s">
        <v>291</v>
      </c>
      <c r="B42" t="s">
        <v>19</v>
      </c>
      <c r="C42" s="520">
        <v>1920</v>
      </c>
    </row>
    <row r="43" spans="1:3" x14ac:dyDescent="0.25">
      <c r="A43" t="s">
        <v>402</v>
      </c>
      <c r="B43" t="s">
        <v>20</v>
      </c>
      <c r="C43" s="520">
        <v>117.23250000000002</v>
      </c>
    </row>
    <row r="44" spans="1:3" x14ac:dyDescent="0.25">
      <c r="A44" t="s">
        <v>259</v>
      </c>
      <c r="B44" t="s">
        <v>19</v>
      </c>
      <c r="C44" s="520">
        <v>79</v>
      </c>
    </row>
    <row r="45" spans="1:3" x14ac:dyDescent="0.25">
      <c r="A45" t="s">
        <v>276</v>
      </c>
      <c r="B45" t="s">
        <v>19</v>
      </c>
      <c r="C45" s="520">
        <v>23</v>
      </c>
    </row>
    <row r="46" spans="1:3" x14ac:dyDescent="0.25">
      <c r="A46" t="s">
        <v>258</v>
      </c>
      <c r="B46" t="s">
        <v>19</v>
      </c>
      <c r="C46" s="520">
        <v>288</v>
      </c>
    </row>
    <row r="47" spans="1:3" x14ac:dyDescent="0.25">
      <c r="A47" t="s">
        <v>277</v>
      </c>
      <c r="B47" t="s">
        <v>19</v>
      </c>
      <c r="C47" s="520">
        <v>23</v>
      </c>
    </row>
    <row r="48" spans="1:3" x14ac:dyDescent="0.25">
      <c r="A48" t="s">
        <v>260</v>
      </c>
      <c r="B48" t="s">
        <v>19</v>
      </c>
      <c r="C48" s="520">
        <v>1</v>
      </c>
    </row>
    <row r="49" spans="1:3" x14ac:dyDescent="0.25">
      <c r="A49" t="s">
        <v>261</v>
      </c>
      <c r="B49" t="s">
        <v>19</v>
      </c>
      <c r="C49" s="520">
        <v>24</v>
      </c>
    </row>
    <row r="50" spans="1:3" x14ac:dyDescent="0.25">
      <c r="A50" t="s">
        <v>247</v>
      </c>
      <c r="B50" t="s">
        <v>19</v>
      </c>
      <c r="C50" s="520">
        <v>369</v>
      </c>
    </row>
    <row r="51" spans="1:3" x14ac:dyDescent="0.25">
      <c r="A51" t="s">
        <v>262</v>
      </c>
      <c r="B51" t="s">
        <v>19</v>
      </c>
      <c r="C51" s="520">
        <v>24</v>
      </c>
    </row>
    <row r="52" spans="1:3" x14ac:dyDescent="0.25">
      <c r="A52" t="s">
        <v>248</v>
      </c>
      <c r="B52" t="s">
        <v>19</v>
      </c>
      <c r="C52" s="520">
        <v>72</v>
      </c>
    </row>
    <row r="53" spans="1:3" x14ac:dyDescent="0.25">
      <c r="A53" t="s">
        <v>263</v>
      </c>
      <c r="B53" t="s">
        <v>19</v>
      </c>
      <c r="C53" s="520">
        <v>1</v>
      </c>
    </row>
    <row r="54" spans="1:3" x14ac:dyDescent="0.25">
      <c r="A54" t="s">
        <v>249</v>
      </c>
      <c r="B54" t="s">
        <v>19</v>
      </c>
      <c r="C54" s="520">
        <v>16</v>
      </c>
    </row>
    <row r="55" spans="1:3" x14ac:dyDescent="0.25">
      <c r="A55" t="s">
        <v>274</v>
      </c>
      <c r="B55" t="s">
        <v>19</v>
      </c>
      <c r="C55" s="520">
        <v>163</v>
      </c>
    </row>
    <row r="56" spans="1:3" x14ac:dyDescent="0.25">
      <c r="A56" t="s">
        <v>275</v>
      </c>
      <c r="B56" t="s">
        <v>19</v>
      </c>
      <c r="C56" s="520">
        <v>345</v>
      </c>
    </row>
    <row r="57" spans="1:3" x14ac:dyDescent="0.25">
      <c r="A57" t="s">
        <v>250</v>
      </c>
      <c r="B57" t="s">
        <v>19</v>
      </c>
      <c r="C57" s="520">
        <v>24</v>
      </c>
    </row>
    <row r="58" spans="1:3" x14ac:dyDescent="0.25">
      <c r="A58" t="s">
        <v>251</v>
      </c>
      <c r="B58" t="s">
        <v>19</v>
      </c>
      <c r="C58" s="520">
        <v>1</v>
      </c>
    </row>
    <row r="59" spans="1:3" x14ac:dyDescent="0.25">
      <c r="A59" t="s">
        <v>264</v>
      </c>
      <c r="B59" t="s">
        <v>19</v>
      </c>
      <c r="C59" s="520">
        <v>96</v>
      </c>
    </row>
    <row r="60" spans="1:3" x14ac:dyDescent="0.25">
      <c r="A60" t="s">
        <v>265</v>
      </c>
      <c r="B60" t="s">
        <v>19</v>
      </c>
      <c r="C60" s="520">
        <v>24</v>
      </c>
    </row>
    <row r="61" spans="1:3" x14ac:dyDescent="0.25">
      <c r="A61" t="s">
        <v>252</v>
      </c>
      <c r="B61" t="s">
        <v>19</v>
      </c>
      <c r="C61" s="520">
        <v>149</v>
      </c>
    </row>
    <row r="62" spans="1:3" x14ac:dyDescent="0.25">
      <c r="A62" t="s">
        <v>253</v>
      </c>
      <c r="B62" t="s">
        <v>19</v>
      </c>
      <c r="C62" s="520">
        <v>1</v>
      </c>
    </row>
    <row r="63" spans="1:3" x14ac:dyDescent="0.25">
      <c r="A63" t="s">
        <v>266</v>
      </c>
      <c r="B63" t="s">
        <v>19</v>
      </c>
      <c r="C63" s="520">
        <v>1</v>
      </c>
    </row>
    <row r="64" spans="1:3" x14ac:dyDescent="0.25">
      <c r="A64" t="s">
        <v>254</v>
      </c>
      <c r="B64" t="s">
        <v>19</v>
      </c>
      <c r="C64" s="520">
        <v>1</v>
      </c>
    </row>
    <row r="65" spans="1:3" x14ac:dyDescent="0.25">
      <c r="A65" t="s">
        <v>267</v>
      </c>
      <c r="B65" t="s">
        <v>19</v>
      </c>
      <c r="C65" s="520">
        <v>1</v>
      </c>
    </row>
    <row r="66" spans="1:3" x14ac:dyDescent="0.25">
      <c r="A66" t="s">
        <v>278</v>
      </c>
      <c r="B66" t="s">
        <v>19</v>
      </c>
      <c r="C66" s="520">
        <v>23</v>
      </c>
    </row>
    <row r="67" spans="1:3" x14ac:dyDescent="0.25">
      <c r="A67" t="s">
        <v>255</v>
      </c>
      <c r="B67" t="s">
        <v>19</v>
      </c>
      <c r="C67" s="520">
        <v>49</v>
      </c>
    </row>
    <row r="68" spans="1:3" x14ac:dyDescent="0.25">
      <c r="A68" t="s">
        <v>256</v>
      </c>
      <c r="B68" t="s">
        <v>19</v>
      </c>
      <c r="C68" s="520">
        <v>1</v>
      </c>
    </row>
    <row r="69" spans="1:3" x14ac:dyDescent="0.25">
      <c r="A69" t="s">
        <v>257</v>
      </c>
      <c r="B69" t="s">
        <v>19</v>
      </c>
      <c r="C69" s="520">
        <v>1</v>
      </c>
    </row>
    <row r="70" spans="1:3" x14ac:dyDescent="0.25">
      <c r="A70" t="s">
        <v>201</v>
      </c>
      <c r="B70" t="s">
        <v>18</v>
      </c>
      <c r="C70" s="520">
        <v>140.5224</v>
      </c>
    </row>
    <row r="71" spans="1:3" x14ac:dyDescent="0.25">
      <c r="A71" t="s">
        <v>206</v>
      </c>
      <c r="B71" t="s">
        <v>20</v>
      </c>
      <c r="C71" s="520">
        <v>9297.8757384615383</v>
      </c>
    </row>
    <row r="72" spans="1:3" x14ac:dyDescent="0.25">
      <c r="A72" t="s">
        <v>199</v>
      </c>
      <c r="B72" t="s">
        <v>19</v>
      </c>
      <c r="C72" s="520">
        <v>121418</v>
      </c>
    </row>
    <row r="73" spans="1:3" x14ac:dyDescent="0.25">
      <c r="A73" t="s">
        <v>244</v>
      </c>
      <c r="B73" t="s">
        <v>21</v>
      </c>
      <c r="C73" s="520">
        <v>19.453200000000002</v>
      </c>
    </row>
    <row r="74" spans="1:3" x14ac:dyDescent="0.25">
      <c r="A74" t="s">
        <v>59</v>
      </c>
      <c r="B74" t="s">
        <v>21</v>
      </c>
      <c r="C74" s="520">
        <v>0.15047759999999999</v>
      </c>
    </row>
    <row r="75" spans="1:3" x14ac:dyDescent="0.25">
      <c r="A75" t="s">
        <v>57</v>
      </c>
      <c r="B75" t="s">
        <v>21</v>
      </c>
      <c r="C75" s="520">
        <v>3.0522752000000004E-2</v>
      </c>
    </row>
    <row r="76" spans="1:3" x14ac:dyDescent="0.25">
      <c r="A76" t="s">
        <v>56</v>
      </c>
      <c r="B76" t="s">
        <v>21</v>
      </c>
      <c r="C76" s="520">
        <v>6.0191039999999994E-2</v>
      </c>
    </row>
    <row r="77" spans="1:3" x14ac:dyDescent="0.25">
      <c r="A77" t="s">
        <v>386</v>
      </c>
      <c r="B77" t="s">
        <v>392</v>
      </c>
      <c r="C77" s="520">
        <v>1</v>
      </c>
    </row>
    <row r="78" spans="1:3" x14ac:dyDescent="0.25">
      <c r="A78" t="s">
        <v>382</v>
      </c>
      <c r="B78" t="s">
        <v>389</v>
      </c>
      <c r="C78" s="520">
        <v>14</v>
      </c>
    </row>
    <row r="79" spans="1:3" x14ac:dyDescent="0.25">
      <c r="A79" t="s">
        <v>403</v>
      </c>
      <c r="B79" t="s">
        <v>20</v>
      </c>
      <c r="C79" s="520">
        <v>111.65</v>
      </c>
    </row>
    <row r="80" spans="1:3" x14ac:dyDescent="0.25">
      <c r="A80" t="s">
        <v>181</v>
      </c>
      <c r="B80" t="s">
        <v>18</v>
      </c>
      <c r="C80" s="520">
        <v>2476.7399999999998</v>
      </c>
    </row>
    <row r="81" spans="1:3" x14ac:dyDescent="0.25">
      <c r="A81" t="s">
        <v>185</v>
      </c>
      <c r="B81" t="s">
        <v>18</v>
      </c>
      <c r="C81" s="520">
        <v>1136.3600000000001</v>
      </c>
    </row>
    <row r="82" spans="1:3" x14ac:dyDescent="0.25">
      <c r="A82" t="s">
        <v>184</v>
      </c>
      <c r="B82" t="s">
        <v>20</v>
      </c>
      <c r="C82" s="520">
        <v>2165.67</v>
      </c>
    </row>
    <row r="83" spans="1:3" x14ac:dyDescent="0.25">
      <c r="A83" t="s">
        <v>302</v>
      </c>
      <c r="B83" t="s">
        <v>20</v>
      </c>
      <c r="C83" s="520">
        <v>163.26000000000002</v>
      </c>
    </row>
    <row r="84" spans="1:3" x14ac:dyDescent="0.25">
      <c r="A84" t="s">
        <v>198</v>
      </c>
      <c r="B84" t="s">
        <v>20</v>
      </c>
      <c r="C84" s="520">
        <v>15177.264999999999</v>
      </c>
    </row>
    <row r="85" spans="1:3" x14ac:dyDescent="0.25">
      <c r="A85" t="s">
        <v>183</v>
      </c>
      <c r="B85" t="s">
        <v>18</v>
      </c>
      <c r="C85" s="520">
        <v>14.29</v>
      </c>
    </row>
    <row r="86" spans="1:3" x14ac:dyDescent="0.25">
      <c r="A86" t="s">
        <v>245</v>
      </c>
      <c r="B86" t="s">
        <v>18</v>
      </c>
      <c r="C86" s="520">
        <v>3.1124000000000001</v>
      </c>
    </row>
    <row r="87" spans="1:3" x14ac:dyDescent="0.25">
      <c r="A87" t="s">
        <v>411</v>
      </c>
      <c r="C87" s="520">
        <v>408862.29184624512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A3E46-E005-449A-B424-BC18E475783B}">
  <dimension ref="A1:AC257"/>
  <sheetViews>
    <sheetView tabSelected="1" view="pageBreakPreview" topLeftCell="F190" zoomScaleNormal="100" zoomScaleSheetLayoutView="100" workbookViewId="0">
      <selection activeCell="Q203" sqref="Q203"/>
    </sheetView>
  </sheetViews>
  <sheetFormatPr defaultColWidth="14.42578125" defaultRowHeight="15" outlineLevelRow="1" outlineLevelCol="1" x14ac:dyDescent="0.25"/>
  <cols>
    <col min="1" max="1" width="11" style="114" customWidth="1"/>
    <col min="2" max="2" width="7.7109375" style="114" customWidth="1"/>
    <col min="3" max="3" width="15.140625" style="112" customWidth="1"/>
    <col min="4" max="4" width="62" style="115" customWidth="1"/>
    <col min="5" max="5" width="20.7109375" style="115" bestFit="1" customWidth="1"/>
    <col min="6" max="6" width="9" style="115" customWidth="1"/>
    <col min="7" max="7" width="8.5703125" style="115" customWidth="1"/>
    <col min="8" max="8" width="12.7109375" style="115" customWidth="1" outlineLevel="1"/>
    <col min="9" max="9" width="13" style="115" customWidth="1" outlineLevel="1"/>
    <col min="10" max="10" width="19.28515625" style="115" customWidth="1" outlineLevel="1"/>
    <col min="11" max="11" width="13.42578125" style="115" customWidth="1"/>
    <col min="12" max="12" width="14.7109375" style="115" customWidth="1"/>
    <col min="13" max="13" width="11.85546875" style="115" bestFit="1" customWidth="1"/>
    <col min="14" max="14" width="15.85546875" style="115" bestFit="1" customWidth="1"/>
    <col min="15" max="15" width="16.5703125" style="115" customWidth="1"/>
    <col min="16" max="16" width="15.85546875" style="115" customWidth="1"/>
    <col min="17" max="17" width="17.5703125" style="115" customWidth="1"/>
    <col min="18" max="18" width="64.28515625" style="316" customWidth="1"/>
    <col min="19" max="19" width="14.85546875" style="295" customWidth="1"/>
    <col min="20" max="20" width="12" style="295" customWidth="1"/>
    <col min="21" max="21" width="12" style="115" customWidth="1"/>
    <col min="22" max="29" width="8.7109375" style="115" customWidth="1"/>
    <col min="30" max="16384" width="14.42578125" style="115"/>
  </cols>
  <sheetData>
    <row r="1" spans="1:29" s="282" customFormat="1" ht="15.75" outlineLevel="1" x14ac:dyDescent="0.25">
      <c r="A1" s="278"/>
      <c r="B1" s="278"/>
      <c r="C1" s="19"/>
      <c r="D1" s="279"/>
      <c r="E1" s="280"/>
      <c r="F1" s="280"/>
      <c r="G1" s="279"/>
      <c r="H1" s="279"/>
      <c r="I1" s="279"/>
      <c r="J1" s="279"/>
      <c r="K1" s="281"/>
      <c r="L1" s="20"/>
      <c r="M1" s="21"/>
      <c r="N1" s="21"/>
      <c r="O1" s="22"/>
      <c r="P1" s="22"/>
      <c r="Q1" s="23" t="s">
        <v>13</v>
      </c>
      <c r="R1" s="160"/>
      <c r="S1" s="161"/>
      <c r="T1" s="161"/>
      <c r="U1" s="24"/>
      <c r="V1" s="24"/>
      <c r="W1" s="24"/>
      <c r="X1" s="24"/>
      <c r="Y1" s="25"/>
      <c r="Z1" s="25"/>
      <c r="AA1" s="25"/>
      <c r="AB1" s="25"/>
      <c r="AC1" s="25"/>
    </row>
    <row r="2" spans="1:29" s="282" customFormat="1" ht="15.75" outlineLevel="1" x14ac:dyDescent="0.25">
      <c r="A2" s="278"/>
      <c r="B2" s="278"/>
      <c r="C2" s="19"/>
      <c r="D2" s="279"/>
      <c r="E2" s="280"/>
      <c r="F2" s="280"/>
      <c r="G2" s="279"/>
      <c r="H2" s="279"/>
      <c r="I2" s="279"/>
      <c r="J2" s="279"/>
      <c r="K2" s="281"/>
      <c r="L2" s="20"/>
      <c r="M2" s="21"/>
      <c r="N2" s="21"/>
      <c r="O2" s="22"/>
      <c r="P2" s="22"/>
      <c r="Q2" s="23" t="s">
        <v>14</v>
      </c>
      <c r="R2" s="160"/>
      <c r="S2" s="161"/>
      <c r="T2" s="161"/>
      <c r="U2" s="24"/>
      <c r="V2" s="24"/>
      <c r="W2" s="24"/>
      <c r="X2" s="24"/>
      <c r="Y2" s="25"/>
      <c r="Z2" s="25"/>
      <c r="AA2" s="25"/>
      <c r="AB2" s="25"/>
      <c r="AC2" s="25"/>
    </row>
    <row r="3" spans="1:29" ht="12.75" customHeight="1" outlineLevel="1" x14ac:dyDescent="0.25">
      <c r="A3" s="283"/>
      <c r="B3" s="283"/>
      <c r="C3" s="26"/>
      <c r="D3" s="284"/>
      <c r="E3" s="285"/>
      <c r="F3" s="285"/>
      <c r="G3" s="284"/>
      <c r="H3" s="284"/>
      <c r="I3" s="284"/>
      <c r="J3" s="284"/>
      <c r="K3" s="286"/>
      <c r="L3" s="20"/>
      <c r="M3" s="27"/>
      <c r="N3" s="27"/>
      <c r="O3" s="28"/>
      <c r="P3" s="28"/>
      <c r="Q3" s="29"/>
      <c r="R3" s="160"/>
      <c r="S3" s="161"/>
      <c r="T3" s="161"/>
      <c r="U3" s="24"/>
      <c r="V3" s="24"/>
      <c r="W3" s="24"/>
      <c r="X3" s="24"/>
      <c r="Y3" s="25"/>
      <c r="Z3" s="25"/>
      <c r="AA3" s="25"/>
      <c r="AB3" s="25"/>
      <c r="AC3" s="25"/>
    </row>
    <row r="4" spans="1:29" ht="21" customHeight="1" outlineLevel="1" x14ac:dyDescent="0.25">
      <c r="A4" s="527" t="s">
        <v>0</v>
      </c>
      <c r="B4" s="527"/>
      <c r="C4" s="527"/>
      <c r="D4" s="527"/>
      <c r="E4" s="527"/>
      <c r="F4" s="527"/>
      <c r="G4" s="527"/>
      <c r="H4" s="527"/>
      <c r="I4" s="527"/>
      <c r="J4" s="527"/>
      <c r="K4" s="527"/>
      <c r="L4" s="527"/>
      <c r="M4" s="527"/>
      <c r="N4" s="527"/>
      <c r="O4" s="527"/>
      <c r="P4" s="527"/>
      <c r="Q4" s="527"/>
      <c r="R4" s="160"/>
      <c r="S4" s="161"/>
      <c r="T4" s="161"/>
      <c r="U4" s="24"/>
      <c r="V4" s="24"/>
      <c r="W4" s="24"/>
      <c r="X4" s="24"/>
      <c r="Y4" s="25"/>
      <c r="Z4" s="25"/>
      <c r="AA4" s="25"/>
      <c r="AB4" s="25"/>
      <c r="AC4" s="25"/>
    </row>
    <row r="5" spans="1:29" ht="15" customHeight="1" outlineLevel="1" x14ac:dyDescent="0.25">
      <c r="A5" s="528" t="s">
        <v>1</v>
      </c>
      <c r="B5" s="528"/>
      <c r="C5" s="528"/>
      <c r="D5" s="528"/>
      <c r="E5" s="528"/>
      <c r="F5" s="528"/>
      <c r="G5" s="528"/>
      <c r="H5" s="528"/>
      <c r="I5" s="528"/>
      <c r="J5" s="528"/>
      <c r="K5" s="528"/>
      <c r="L5" s="528"/>
      <c r="M5" s="528"/>
      <c r="N5" s="528"/>
      <c r="O5" s="528"/>
      <c r="P5" s="528"/>
      <c r="Q5" s="528"/>
      <c r="R5" s="160"/>
      <c r="S5" s="161"/>
      <c r="T5" s="161"/>
      <c r="U5" s="24"/>
      <c r="V5" s="24"/>
      <c r="W5" s="24"/>
      <c r="X5" s="24"/>
      <c r="Y5" s="25"/>
      <c r="Z5" s="25"/>
      <c r="AA5" s="25"/>
      <c r="AB5" s="25"/>
      <c r="AC5" s="25"/>
    </row>
    <row r="6" spans="1:29" ht="15.75" outlineLevel="1" x14ac:dyDescent="0.25">
      <c r="A6" s="528" t="s">
        <v>27</v>
      </c>
      <c r="B6" s="528"/>
      <c r="C6" s="528"/>
      <c r="D6" s="528"/>
      <c r="E6" s="528"/>
      <c r="F6" s="528"/>
      <c r="G6" s="528"/>
      <c r="H6" s="528"/>
      <c r="I6" s="528"/>
      <c r="J6" s="528"/>
      <c r="K6" s="528"/>
      <c r="L6" s="528"/>
      <c r="M6" s="528"/>
      <c r="N6" s="528"/>
      <c r="O6" s="528"/>
      <c r="P6" s="528"/>
      <c r="Q6" s="528"/>
      <c r="R6" s="160"/>
      <c r="S6" s="161"/>
      <c r="T6" s="161"/>
      <c r="U6" s="24"/>
      <c r="V6" s="24"/>
      <c r="W6" s="24"/>
      <c r="X6" s="24"/>
      <c r="Y6" s="25"/>
      <c r="Z6" s="25"/>
      <c r="AA6" s="25"/>
      <c r="AB6" s="25"/>
      <c r="AC6" s="25"/>
    </row>
    <row r="7" spans="1:29" ht="15.75" x14ac:dyDescent="0.25">
      <c r="A7" s="30"/>
      <c r="B7" s="30"/>
      <c r="C7" s="446"/>
      <c r="D7" s="446"/>
      <c r="E7" s="446"/>
      <c r="F7" s="446"/>
      <c r="G7" s="446"/>
      <c r="H7" s="446"/>
      <c r="I7" s="446"/>
      <c r="J7" s="446"/>
      <c r="K7" s="446"/>
      <c r="L7" s="446"/>
      <c r="M7" s="446"/>
      <c r="N7" s="446"/>
      <c r="O7" s="446"/>
      <c r="P7" s="446"/>
      <c r="Q7" s="446"/>
      <c r="R7" s="160"/>
      <c r="S7" s="161"/>
      <c r="T7" s="161"/>
      <c r="U7" s="24"/>
      <c r="V7" s="24"/>
      <c r="W7" s="24"/>
      <c r="X7" s="24"/>
      <c r="Y7" s="25"/>
      <c r="Z7" s="25"/>
      <c r="AA7" s="25"/>
      <c r="AB7" s="25"/>
      <c r="AC7" s="25"/>
    </row>
    <row r="8" spans="1:29" ht="15.75" customHeight="1" x14ac:dyDescent="0.25">
      <c r="A8" s="529" t="s">
        <v>2</v>
      </c>
      <c r="B8" s="447"/>
      <c r="C8" s="456"/>
      <c r="D8" s="455"/>
      <c r="E8" s="455"/>
      <c r="F8" s="455"/>
      <c r="G8" s="454"/>
      <c r="H8" s="176"/>
      <c r="I8" s="176"/>
      <c r="J8" s="176"/>
      <c r="K8" s="455"/>
      <c r="L8" s="541"/>
      <c r="M8" s="542"/>
      <c r="N8" s="542"/>
      <c r="O8" s="542"/>
      <c r="P8" s="542"/>
      <c r="Q8" s="542"/>
      <c r="R8" s="543"/>
      <c r="S8" s="161"/>
      <c r="T8" s="161"/>
      <c r="U8" s="24"/>
      <c r="V8" s="24"/>
      <c r="W8" s="24"/>
      <c r="X8" s="24"/>
      <c r="Y8" s="25"/>
      <c r="Z8" s="25"/>
      <c r="AA8" s="25"/>
      <c r="AB8" s="25"/>
      <c r="AC8" s="25"/>
    </row>
    <row r="9" spans="1:29" ht="15" customHeight="1" x14ac:dyDescent="0.25">
      <c r="A9" s="530"/>
      <c r="B9" s="448"/>
      <c r="C9" s="456"/>
      <c r="D9" s="455"/>
      <c r="E9" s="455"/>
      <c r="F9" s="455"/>
      <c r="G9" s="454"/>
      <c r="H9" s="453"/>
      <c r="I9" s="453"/>
      <c r="J9" s="453"/>
      <c r="K9" s="455"/>
      <c r="L9" s="544" t="s">
        <v>7</v>
      </c>
      <c r="M9" s="545"/>
      <c r="N9" s="544" t="s">
        <v>8</v>
      </c>
      <c r="O9" s="544" t="s">
        <v>9</v>
      </c>
      <c r="P9" s="545"/>
      <c r="Q9" s="544" t="s">
        <v>10</v>
      </c>
      <c r="R9" s="546" t="s">
        <v>5</v>
      </c>
      <c r="S9" s="161"/>
      <c r="T9" s="161"/>
      <c r="U9" s="24"/>
      <c r="V9" s="24"/>
      <c r="W9" s="24"/>
      <c r="X9" s="24"/>
      <c r="Y9" s="25"/>
      <c r="Z9" s="25"/>
      <c r="AA9" s="25"/>
      <c r="AB9" s="25"/>
      <c r="AC9" s="25"/>
    </row>
    <row r="10" spans="1:29" s="464" customFormat="1" ht="51" customHeight="1" x14ac:dyDescent="0.25">
      <c r="A10" s="531"/>
      <c r="B10" s="449" t="s">
        <v>407</v>
      </c>
      <c r="C10" s="450" t="s">
        <v>3</v>
      </c>
      <c r="D10" s="451" t="s">
        <v>4</v>
      </c>
      <c r="E10" s="451" t="s">
        <v>170</v>
      </c>
      <c r="F10" s="451" t="s">
        <v>6</v>
      </c>
      <c r="G10" s="452" t="s">
        <v>31</v>
      </c>
      <c r="H10" s="453" t="s">
        <v>29</v>
      </c>
      <c r="I10" s="453" t="s">
        <v>30</v>
      </c>
      <c r="J10" s="453" t="s">
        <v>32</v>
      </c>
      <c r="K10" s="451" t="s">
        <v>33</v>
      </c>
      <c r="L10" s="453" t="s">
        <v>11</v>
      </c>
      <c r="M10" s="453" t="s">
        <v>12</v>
      </c>
      <c r="N10" s="545"/>
      <c r="O10" s="453" t="s">
        <v>11</v>
      </c>
      <c r="P10" s="453" t="s">
        <v>12</v>
      </c>
      <c r="Q10" s="544"/>
      <c r="R10" s="547"/>
      <c r="S10" s="161"/>
      <c r="T10" s="161"/>
      <c r="U10" s="24"/>
      <c r="V10" s="24"/>
      <c r="W10" s="24"/>
      <c r="X10" s="24"/>
      <c r="Y10" s="463"/>
      <c r="Z10" s="463"/>
      <c r="AA10" s="463"/>
      <c r="AB10" s="463"/>
      <c r="AC10" s="463"/>
    </row>
    <row r="11" spans="1:29" s="287" customFormat="1" ht="20.25" customHeight="1" x14ac:dyDescent="0.25">
      <c r="A11" s="31"/>
      <c r="B11" s="192"/>
      <c r="C11" s="32"/>
      <c r="D11" s="33" t="s">
        <v>67</v>
      </c>
      <c r="E11" s="34"/>
      <c r="F11" s="34"/>
      <c r="G11" s="321"/>
      <c r="H11" s="34"/>
      <c r="I11" s="34"/>
      <c r="J11" s="35"/>
      <c r="K11" s="34"/>
      <c r="L11" s="138"/>
      <c r="M11" s="139"/>
      <c r="N11" s="36"/>
      <c r="O11" s="34"/>
      <c r="P11" s="34"/>
      <c r="Q11" s="37"/>
      <c r="R11" s="162"/>
      <c r="S11" s="163"/>
      <c r="T11" s="163"/>
      <c r="U11" s="38"/>
      <c r="V11" s="38"/>
      <c r="W11" s="38"/>
      <c r="X11" s="38"/>
      <c r="Y11" s="39"/>
      <c r="Z11" s="39"/>
      <c r="AA11" s="39"/>
      <c r="AB11" s="39"/>
      <c r="AC11" s="39"/>
    </row>
    <row r="12" spans="1:29" s="288" customFormat="1" ht="17.25" customHeight="1" x14ac:dyDescent="0.25">
      <c r="A12" s="40"/>
      <c r="B12" s="193"/>
      <c r="C12" s="41"/>
      <c r="D12" s="42" t="s">
        <v>66</v>
      </c>
      <c r="E12" s="43"/>
      <c r="F12" s="43"/>
      <c r="G12" s="322"/>
      <c r="H12" s="43"/>
      <c r="I12" s="43"/>
      <c r="J12" s="44"/>
      <c r="K12" s="43"/>
      <c r="L12" s="140"/>
      <c r="M12" s="141"/>
      <c r="N12" s="45"/>
      <c r="O12" s="43"/>
      <c r="P12" s="43"/>
      <c r="Q12" s="46"/>
      <c r="R12" s="164"/>
      <c r="S12" s="165"/>
      <c r="T12" s="165"/>
      <c r="U12" s="47"/>
      <c r="V12" s="47"/>
      <c r="W12" s="47"/>
      <c r="X12" s="47"/>
      <c r="Y12" s="48"/>
      <c r="Z12" s="48"/>
      <c r="AA12" s="48"/>
      <c r="AB12" s="48"/>
      <c r="AC12" s="48"/>
    </row>
    <row r="13" spans="1:29" s="290" customFormat="1" ht="33.75" customHeight="1" x14ac:dyDescent="0.25">
      <c r="A13" s="49" t="s">
        <v>15</v>
      </c>
      <c r="B13" s="210"/>
      <c r="C13" s="195" t="s">
        <v>165</v>
      </c>
      <c r="D13" s="50" t="s">
        <v>162</v>
      </c>
      <c r="E13" s="51"/>
      <c r="F13" s="52"/>
      <c r="G13" s="53"/>
      <c r="H13" s="54"/>
      <c r="I13" s="54"/>
      <c r="J13" s="53"/>
      <c r="K13" s="14"/>
      <c r="L13" s="142"/>
      <c r="M13" s="143"/>
      <c r="N13" s="55"/>
      <c r="O13" s="56"/>
      <c r="P13" s="57"/>
      <c r="Q13" s="58"/>
      <c r="R13" s="166"/>
      <c r="S13" s="289"/>
      <c r="T13" s="289"/>
    </row>
    <row r="14" spans="1:29" s="103" customFormat="1" ht="33.75" customHeight="1" x14ac:dyDescent="0.25">
      <c r="A14" s="59" t="s">
        <v>16</v>
      </c>
      <c r="B14" s="211" t="s">
        <v>177</v>
      </c>
      <c r="C14" s="196" t="s">
        <v>165</v>
      </c>
      <c r="D14" s="60" t="s">
        <v>185</v>
      </c>
      <c r="E14" s="61" t="s">
        <v>17</v>
      </c>
      <c r="F14" s="62" t="s">
        <v>18</v>
      </c>
      <c r="G14" s="105">
        <v>1</v>
      </c>
      <c r="H14" s="64">
        <v>55.26</v>
      </c>
      <c r="I14" s="64"/>
      <c r="J14" s="63"/>
      <c r="K14" s="11">
        <f>H14+I14+J14</f>
        <v>55.26</v>
      </c>
      <c r="L14" s="144"/>
      <c r="M14" s="145"/>
      <c r="N14" s="65">
        <f>L14+M14</f>
        <v>0</v>
      </c>
      <c r="O14" s="66">
        <f>L14*K14</f>
        <v>0</v>
      </c>
      <c r="P14" s="67">
        <f>M14*K14</f>
        <v>0</v>
      </c>
      <c r="Q14" s="68">
        <f>O14+P14</f>
        <v>0</v>
      </c>
      <c r="R14" s="187" t="s">
        <v>122</v>
      </c>
      <c r="S14" s="291"/>
      <c r="T14" s="291"/>
    </row>
    <row r="15" spans="1:29" s="294" customFormat="1" ht="30" customHeight="1" x14ac:dyDescent="0.25">
      <c r="A15" s="59" t="s">
        <v>70</v>
      </c>
      <c r="B15" s="211" t="s">
        <v>178</v>
      </c>
      <c r="C15" s="197"/>
      <c r="D15" s="183" t="s">
        <v>121</v>
      </c>
      <c r="E15" s="74" t="s">
        <v>17</v>
      </c>
      <c r="F15" s="70" t="s">
        <v>18</v>
      </c>
      <c r="G15" s="71">
        <v>1.05</v>
      </c>
      <c r="H15" s="70">
        <f>ROUND(H14*G15,2)</f>
        <v>58.02</v>
      </c>
      <c r="I15" s="70"/>
      <c r="J15" s="71"/>
      <c r="K15" s="11">
        <f t="shared" ref="K15:K18" si="0">H15+I15+J15</f>
        <v>58.02</v>
      </c>
      <c r="L15" s="146"/>
      <c r="M15" s="147"/>
      <c r="N15" s="65">
        <f t="shared" ref="N15:N30" si="1">L15+M15</f>
        <v>0</v>
      </c>
      <c r="O15" s="66">
        <f t="shared" ref="O15:O30" si="2">L15*K15</f>
        <v>0</v>
      </c>
      <c r="P15" s="67">
        <f t="shared" ref="P15:P30" si="3">M15*K15</f>
        <v>0</v>
      </c>
      <c r="Q15" s="68">
        <f t="shared" ref="Q15:Q30" si="4">O15+P15</f>
        <v>0</v>
      </c>
      <c r="R15" s="292"/>
      <c r="S15" s="293"/>
      <c r="T15" s="293"/>
    </row>
    <row r="16" spans="1:29" s="294" customFormat="1" ht="30" customHeight="1" x14ac:dyDescent="0.25">
      <c r="A16" s="59" t="s">
        <v>71</v>
      </c>
      <c r="B16" s="211" t="s">
        <v>178</v>
      </c>
      <c r="C16" s="197"/>
      <c r="D16" s="95" t="s">
        <v>201</v>
      </c>
      <c r="E16" s="74" t="s">
        <v>17</v>
      </c>
      <c r="F16" s="70" t="s">
        <v>18</v>
      </c>
      <c r="G16" s="71">
        <v>0.22</v>
      </c>
      <c r="H16" s="70">
        <f>3.7*G16</f>
        <v>0.81400000000000006</v>
      </c>
      <c r="I16" s="70"/>
      <c r="J16" s="71"/>
      <c r="K16" s="11">
        <f t="shared" si="0"/>
        <v>0.81400000000000006</v>
      </c>
      <c r="L16" s="179"/>
      <c r="M16" s="147"/>
      <c r="N16" s="65">
        <f t="shared" si="1"/>
        <v>0</v>
      </c>
      <c r="O16" s="66">
        <f t="shared" si="2"/>
        <v>0</v>
      </c>
      <c r="P16" s="67">
        <f t="shared" si="3"/>
        <v>0</v>
      </c>
      <c r="Q16" s="68">
        <f t="shared" si="4"/>
        <v>0</v>
      </c>
      <c r="R16" s="292"/>
      <c r="S16" s="293"/>
      <c r="T16" s="293"/>
    </row>
    <row r="17" spans="1:20" ht="23.25" customHeight="1" x14ac:dyDescent="0.25">
      <c r="A17" s="59" t="s">
        <v>72</v>
      </c>
      <c r="B17" s="211" t="s">
        <v>178</v>
      </c>
      <c r="C17" s="198"/>
      <c r="D17" s="95" t="s">
        <v>173</v>
      </c>
      <c r="E17" s="74" t="s">
        <v>17</v>
      </c>
      <c r="F17" s="100" t="s">
        <v>23</v>
      </c>
      <c r="G17" s="102">
        <v>30</v>
      </c>
      <c r="H17" s="74">
        <f>(H14-3.7)*G17</f>
        <v>1546.8</v>
      </c>
      <c r="I17" s="74"/>
      <c r="J17" s="102"/>
      <c r="K17" s="11">
        <f>H17+I17+J17</f>
        <v>1546.8</v>
      </c>
      <c r="L17" s="148"/>
      <c r="M17" s="149"/>
      <c r="N17" s="65">
        <f t="shared" si="1"/>
        <v>0</v>
      </c>
      <c r="O17" s="66">
        <f t="shared" si="2"/>
        <v>0</v>
      </c>
      <c r="P17" s="67">
        <f t="shared" si="3"/>
        <v>0</v>
      </c>
      <c r="Q17" s="68">
        <f t="shared" si="4"/>
        <v>0</v>
      </c>
      <c r="R17" s="187" t="s">
        <v>174</v>
      </c>
    </row>
    <row r="18" spans="1:20" ht="28.5" customHeight="1" x14ac:dyDescent="0.25">
      <c r="A18" s="59" t="s">
        <v>192</v>
      </c>
      <c r="B18" s="211" t="s">
        <v>178</v>
      </c>
      <c r="C18" s="198"/>
      <c r="D18" s="95" t="s">
        <v>206</v>
      </c>
      <c r="E18" s="69" t="s">
        <v>17</v>
      </c>
      <c r="F18" s="72" t="s">
        <v>20</v>
      </c>
      <c r="G18" s="102">
        <v>1.1000000000000001</v>
      </c>
      <c r="H18" s="69">
        <f>78.94*G18</f>
        <v>86.834000000000003</v>
      </c>
      <c r="I18" s="69"/>
      <c r="J18" s="73"/>
      <c r="K18" s="11">
        <f t="shared" si="0"/>
        <v>86.834000000000003</v>
      </c>
      <c r="L18" s="148"/>
      <c r="M18" s="149"/>
      <c r="N18" s="65">
        <f t="shared" si="1"/>
        <v>0</v>
      </c>
      <c r="O18" s="66">
        <f t="shared" si="2"/>
        <v>0</v>
      </c>
      <c r="P18" s="67">
        <f t="shared" si="3"/>
        <v>0</v>
      </c>
      <c r="Q18" s="68">
        <f t="shared" si="4"/>
        <v>0</v>
      </c>
      <c r="R18" s="296"/>
    </row>
    <row r="19" spans="1:20" s="290" customFormat="1" ht="30" customHeight="1" x14ac:dyDescent="0.25">
      <c r="A19" s="49">
        <v>2</v>
      </c>
      <c r="B19" s="210"/>
      <c r="C19" s="199" t="s">
        <v>165</v>
      </c>
      <c r="D19" s="50" t="s">
        <v>163</v>
      </c>
      <c r="E19" s="51"/>
      <c r="F19" s="52"/>
      <c r="G19" s="53"/>
      <c r="H19" s="54"/>
      <c r="I19" s="54"/>
      <c r="J19" s="53"/>
      <c r="K19" s="14"/>
      <c r="L19" s="142"/>
      <c r="M19" s="143"/>
      <c r="N19" s="81">
        <f t="shared" si="1"/>
        <v>0</v>
      </c>
      <c r="O19" s="78">
        <f t="shared" si="2"/>
        <v>0</v>
      </c>
      <c r="P19" s="82">
        <f t="shared" si="3"/>
        <v>0</v>
      </c>
      <c r="Q19" s="58">
        <f t="shared" si="4"/>
        <v>0</v>
      </c>
      <c r="R19" s="180"/>
      <c r="S19" s="289"/>
      <c r="T19" s="289"/>
    </row>
    <row r="20" spans="1:20" s="103" customFormat="1" ht="40.5" customHeight="1" x14ac:dyDescent="0.25">
      <c r="A20" s="178" t="s">
        <v>45</v>
      </c>
      <c r="B20" s="211" t="s">
        <v>177</v>
      </c>
      <c r="C20" s="200" t="s">
        <v>165</v>
      </c>
      <c r="D20" s="60" t="s">
        <v>181</v>
      </c>
      <c r="E20" s="61" t="s">
        <v>17</v>
      </c>
      <c r="F20" s="62" t="s">
        <v>18</v>
      </c>
      <c r="G20" s="105">
        <v>1</v>
      </c>
      <c r="H20" s="64">
        <f>182-H14</f>
        <v>126.74000000000001</v>
      </c>
      <c r="I20" s="64"/>
      <c r="J20" s="63"/>
      <c r="K20" s="11">
        <f>H20+I20+J20</f>
        <v>126.74000000000001</v>
      </c>
      <c r="L20" s="144"/>
      <c r="M20" s="145"/>
      <c r="N20" s="65">
        <f t="shared" si="1"/>
        <v>0</v>
      </c>
      <c r="O20" s="66">
        <f t="shared" si="2"/>
        <v>0</v>
      </c>
      <c r="P20" s="67">
        <f t="shared" si="3"/>
        <v>0</v>
      </c>
      <c r="Q20" s="68">
        <f t="shared" si="4"/>
        <v>0</v>
      </c>
      <c r="R20" s="167" t="s">
        <v>122</v>
      </c>
      <c r="S20" s="291"/>
      <c r="T20" s="291"/>
    </row>
    <row r="21" spans="1:20" s="294" customFormat="1" ht="30" customHeight="1" x14ac:dyDescent="0.25">
      <c r="A21" s="178" t="s">
        <v>28</v>
      </c>
      <c r="B21" s="211" t="s">
        <v>178</v>
      </c>
      <c r="C21" s="201"/>
      <c r="D21" s="183" t="s">
        <v>121</v>
      </c>
      <c r="E21" s="61" t="s">
        <v>17</v>
      </c>
      <c r="F21" s="70" t="s">
        <v>18</v>
      </c>
      <c r="G21" s="71">
        <v>1.05</v>
      </c>
      <c r="H21" s="70">
        <f>H20*G21</f>
        <v>133.07700000000003</v>
      </c>
      <c r="I21" s="70"/>
      <c r="J21" s="71"/>
      <c r="K21" s="11">
        <f t="shared" ref="K21:K24" si="5">H21+I21+J21</f>
        <v>133.07700000000003</v>
      </c>
      <c r="L21" s="146"/>
      <c r="M21" s="147"/>
      <c r="N21" s="65">
        <f t="shared" si="1"/>
        <v>0</v>
      </c>
      <c r="O21" s="66">
        <f t="shared" si="2"/>
        <v>0</v>
      </c>
      <c r="P21" s="67">
        <f t="shared" si="3"/>
        <v>0</v>
      </c>
      <c r="Q21" s="68">
        <f t="shared" si="4"/>
        <v>0</v>
      </c>
      <c r="R21" s="292"/>
      <c r="S21" s="293"/>
      <c r="T21" s="293"/>
    </row>
    <row r="22" spans="1:20" s="294" customFormat="1" ht="30" customHeight="1" x14ac:dyDescent="0.25">
      <c r="A22" s="178" t="s">
        <v>46</v>
      </c>
      <c r="B22" s="211" t="s">
        <v>178</v>
      </c>
      <c r="C22" s="201"/>
      <c r="D22" s="95" t="s">
        <v>201</v>
      </c>
      <c r="E22" s="61" t="s">
        <v>17</v>
      </c>
      <c r="F22" s="70" t="s">
        <v>18</v>
      </c>
      <c r="G22" s="71">
        <v>0.22</v>
      </c>
      <c r="H22" s="70">
        <f>10.9*G22</f>
        <v>2.3980000000000001</v>
      </c>
      <c r="I22" s="70"/>
      <c r="J22" s="71"/>
      <c r="K22" s="11">
        <f t="shared" si="5"/>
        <v>2.3980000000000001</v>
      </c>
      <c r="L22" s="179"/>
      <c r="M22" s="147"/>
      <c r="N22" s="65">
        <f t="shared" si="1"/>
        <v>0</v>
      </c>
      <c r="O22" s="66">
        <f t="shared" si="2"/>
        <v>0</v>
      </c>
      <c r="P22" s="67">
        <f t="shared" si="3"/>
        <v>0</v>
      </c>
      <c r="Q22" s="68">
        <f t="shared" si="4"/>
        <v>0</v>
      </c>
      <c r="R22" s="292"/>
      <c r="S22" s="293"/>
      <c r="T22" s="293"/>
    </row>
    <row r="23" spans="1:20" ht="23.25" customHeight="1" x14ac:dyDescent="0.25">
      <c r="A23" s="178" t="s">
        <v>47</v>
      </c>
      <c r="B23" s="211" t="s">
        <v>178</v>
      </c>
      <c r="C23" s="202"/>
      <c r="D23" s="95" t="s">
        <v>173</v>
      </c>
      <c r="E23" s="61" t="s">
        <v>17</v>
      </c>
      <c r="F23" s="100" t="s">
        <v>23</v>
      </c>
      <c r="G23" s="102">
        <v>30</v>
      </c>
      <c r="H23" s="74">
        <f>(H20-10.9)*G23</f>
        <v>3475.2000000000003</v>
      </c>
      <c r="I23" s="74"/>
      <c r="J23" s="102"/>
      <c r="K23" s="11">
        <f t="shared" si="5"/>
        <v>3475.2000000000003</v>
      </c>
      <c r="L23" s="148"/>
      <c r="M23" s="149"/>
      <c r="N23" s="65">
        <f t="shared" si="1"/>
        <v>0</v>
      </c>
      <c r="O23" s="66">
        <f t="shared" si="2"/>
        <v>0</v>
      </c>
      <c r="P23" s="67">
        <f t="shared" si="3"/>
        <v>0</v>
      </c>
      <c r="Q23" s="68">
        <f t="shared" si="4"/>
        <v>0</v>
      </c>
      <c r="R23" s="187" t="s">
        <v>174</v>
      </c>
    </row>
    <row r="24" spans="1:20" ht="21" customHeight="1" x14ac:dyDescent="0.25">
      <c r="A24" s="178" t="s">
        <v>191</v>
      </c>
      <c r="B24" s="211" t="s">
        <v>178</v>
      </c>
      <c r="C24" s="202"/>
      <c r="D24" s="234" t="s">
        <v>206</v>
      </c>
      <c r="E24" s="61" t="s">
        <v>17</v>
      </c>
      <c r="F24" s="100" t="s">
        <v>20</v>
      </c>
      <c r="G24" s="102">
        <v>1.1000000000000001</v>
      </c>
      <c r="H24" s="74">
        <f>8.74*G24</f>
        <v>9.6140000000000008</v>
      </c>
      <c r="I24" s="74"/>
      <c r="J24" s="102"/>
      <c r="K24" s="11">
        <f t="shared" si="5"/>
        <v>9.6140000000000008</v>
      </c>
      <c r="L24" s="148"/>
      <c r="M24" s="149"/>
      <c r="N24" s="65">
        <f t="shared" si="1"/>
        <v>0</v>
      </c>
      <c r="O24" s="66">
        <f t="shared" si="2"/>
        <v>0</v>
      </c>
      <c r="P24" s="67">
        <f t="shared" si="3"/>
        <v>0</v>
      </c>
      <c r="Q24" s="68">
        <f t="shared" si="4"/>
        <v>0</v>
      </c>
      <c r="R24" s="296"/>
    </row>
    <row r="25" spans="1:20" s="290" customFormat="1" ht="30" customHeight="1" x14ac:dyDescent="0.25">
      <c r="A25" s="49">
        <v>3</v>
      </c>
      <c r="B25" s="210"/>
      <c r="C25" s="199" t="s">
        <v>165</v>
      </c>
      <c r="D25" s="50" t="s">
        <v>68</v>
      </c>
      <c r="E25" s="51"/>
      <c r="F25" s="52"/>
      <c r="G25" s="53"/>
      <c r="H25" s="54"/>
      <c r="I25" s="54"/>
      <c r="J25" s="53"/>
      <c r="K25" s="14"/>
      <c r="L25" s="142"/>
      <c r="M25" s="143"/>
      <c r="N25" s="81"/>
      <c r="O25" s="78"/>
      <c r="P25" s="82"/>
      <c r="Q25" s="58"/>
      <c r="R25" s="297"/>
      <c r="S25" s="289"/>
      <c r="T25" s="289"/>
    </row>
    <row r="26" spans="1:20" s="103" customFormat="1" ht="30.75" customHeight="1" x14ac:dyDescent="0.25">
      <c r="A26" s="178" t="s">
        <v>63</v>
      </c>
      <c r="B26" s="211" t="s">
        <v>177</v>
      </c>
      <c r="C26" s="200" t="s">
        <v>165</v>
      </c>
      <c r="D26" s="60" t="s">
        <v>181</v>
      </c>
      <c r="E26" s="61" t="s">
        <v>17</v>
      </c>
      <c r="F26" s="62" t="s">
        <v>18</v>
      </c>
      <c r="G26" s="105">
        <v>1</v>
      </c>
      <c r="H26" s="64">
        <v>50.78</v>
      </c>
      <c r="I26" s="64"/>
      <c r="J26" s="63"/>
      <c r="K26" s="11">
        <f>ROUND(H26+I26+J26,2)</f>
        <v>50.78</v>
      </c>
      <c r="L26" s="144"/>
      <c r="M26" s="145"/>
      <c r="N26" s="65">
        <f>L26+M26</f>
        <v>0</v>
      </c>
      <c r="O26" s="66">
        <f>L26*K26</f>
        <v>0</v>
      </c>
      <c r="P26" s="67">
        <f>M26*K26</f>
        <v>0</v>
      </c>
      <c r="Q26" s="68">
        <f>O26+P26</f>
        <v>0</v>
      </c>
      <c r="R26" s="167" t="s">
        <v>122</v>
      </c>
      <c r="S26" s="291"/>
      <c r="T26" s="291"/>
    </row>
    <row r="27" spans="1:20" s="294" customFormat="1" ht="30" customHeight="1" x14ac:dyDescent="0.25">
      <c r="A27" s="178" t="s">
        <v>64</v>
      </c>
      <c r="B27" s="211" t="s">
        <v>178</v>
      </c>
      <c r="C27" s="201"/>
      <c r="D27" s="183" t="s">
        <v>121</v>
      </c>
      <c r="E27" s="61" t="s">
        <v>17</v>
      </c>
      <c r="F27" s="70" t="s">
        <v>18</v>
      </c>
      <c r="G27" s="71">
        <v>1.05</v>
      </c>
      <c r="H27" s="70">
        <f>H26*G27</f>
        <v>53.319000000000003</v>
      </c>
      <c r="I27" s="70"/>
      <c r="J27" s="71"/>
      <c r="K27" s="11">
        <f>ROUND(H27+I27+J27,2)</f>
        <v>53.32</v>
      </c>
      <c r="L27" s="146"/>
      <c r="M27" s="147"/>
      <c r="N27" s="65">
        <f t="shared" si="1"/>
        <v>0</v>
      </c>
      <c r="O27" s="66">
        <f t="shared" si="2"/>
        <v>0</v>
      </c>
      <c r="P27" s="67">
        <f t="shared" si="3"/>
        <v>0</v>
      </c>
      <c r="Q27" s="68">
        <f t="shared" si="4"/>
        <v>0</v>
      </c>
      <c r="R27" s="292"/>
      <c r="S27" s="293"/>
      <c r="T27" s="293"/>
    </row>
    <row r="28" spans="1:20" ht="24" x14ac:dyDescent="0.25">
      <c r="A28" s="178" t="s">
        <v>69</v>
      </c>
      <c r="B28" s="211" t="s">
        <v>178</v>
      </c>
      <c r="C28" s="202"/>
      <c r="D28" s="95" t="s">
        <v>201</v>
      </c>
      <c r="E28" s="61" t="s">
        <v>17</v>
      </c>
      <c r="F28" s="100" t="s">
        <v>18</v>
      </c>
      <c r="G28" s="102">
        <v>0.22</v>
      </c>
      <c r="H28" s="74">
        <f>6*G28</f>
        <v>1.32</v>
      </c>
      <c r="I28" s="74"/>
      <c r="J28" s="102"/>
      <c r="K28" s="11">
        <f t="shared" ref="K28:K30" si="6">ROUND(H28+I28+J28,2)</f>
        <v>1.32</v>
      </c>
      <c r="L28" s="148"/>
      <c r="M28" s="149"/>
      <c r="N28" s="65">
        <f t="shared" si="1"/>
        <v>0</v>
      </c>
      <c r="O28" s="66">
        <f t="shared" si="2"/>
        <v>0</v>
      </c>
      <c r="P28" s="67">
        <f t="shared" si="3"/>
        <v>0</v>
      </c>
      <c r="Q28" s="68">
        <f t="shared" si="4"/>
        <v>0</v>
      </c>
      <c r="R28" s="187" t="s">
        <v>174</v>
      </c>
    </row>
    <row r="29" spans="1:20" ht="19.5" customHeight="1" x14ac:dyDescent="0.25">
      <c r="A29" s="59" t="s">
        <v>73</v>
      </c>
      <c r="B29" s="211" t="s">
        <v>178</v>
      </c>
      <c r="C29" s="202"/>
      <c r="D29" s="95" t="s">
        <v>173</v>
      </c>
      <c r="E29" s="61" t="s">
        <v>17</v>
      </c>
      <c r="F29" s="100" t="s">
        <v>23</v>
      </c>
      <c r="G29" s="102">
        <v>30</v>
      </c>
      <c r="H29" s="74">
        <f>(H26-6)*G29</f>
        <v>1343.4</v>
      </c>
      <c r="I29" s="74"/>
      <c r="J29" s="102"/>
      <c r="K29" s="11">
        <f t="shared" si="6"/>
        <v>1343.4</v>
      </c>
      <c r="L29" s="177"/>
      <c r="M29" s="149"/>
      <c r="N29" s="65"/>
      <c r="O29" s="66"/>
      <c r="P29" s="67"/>
      <c r="Q29" s="68"/>
      <c r="R29" s="167"/>
    </row>
    <row r="30" spans="1:20" ht="34.5" customHeight="1" x14ac:dyDescent="0.25">
      <c r="A30" s="59" t="s">
        <v>172</v>
      </c>
      <c r="B30" s="211" t="s">
        <v>178</v>
      </c>
      <c r="C30" s="202"/>
      <c r="D30" s="95" t="s">
        <v>206</v>
      </c>
      <c r="E30" s="61" t="s">
        <v>17</v>
      </c>
      <c r="F30" s="100" t="s">
        <v>20</v>
      </c>
      <c r="G30" s="74">
        <v>1.1000000000000001</v>
      </c>
      <c r="H30" s="74">
        <f>156*0.2*6*G30</f>
        <v>205.92000000000004</v>
      </c>
      <c r="I30" s="74"/>
      <c r="J30" s="102"/>
      <c r="K30" s="11">
        <f t="shared" si="6"/>
        <v>205.92</v>
      </c>
      <c r="L30" s="148"/>
      <c r="M30" s="149"/>
      <c r="N30" s="65">
        <f t="shared" si="1"/>
        <v>0</v>
      </c>
      <c r="O30" s="66">
        <f t="shared" si="2"/>
        <v>0</v>
      </c>
      <c r="P30" s="67">
        <f t="shared" si="3"/>
        <v>0</v>
      </c>
      <c r="Q30" s="68">
        <f t="shared" si="4"/>
        <v>0</v>
      </c>
      <c r="R30" s="296"/>
    </row>
    <row r="31" spans="1:20" s="290" customFormat="1" ht="17.25" customHeight="1" x14ac:dyDescent="0.25">
      <c r="A31" s="49" t="s">
        <v>193</v>
      </c>
      <c r="B31" s="210"/>
      <c r="C31" s="199" t="s">
        <v>165</v>
      </c>
      <c r="D31" s="50" t="s">
        <v>51</v>
      </c>
      <c r="E31" s="75"/>
      <c r="F31" s="76"/>
      <c r="G31" s="77"/>
      <c r="H31" s="79"/>
      <c r="I31" s="80"/>
      <c r="J31" s="77"/>
      <c r="K31" s="15"/>
      <c r="L31" s="150"/>
      <c r="M31" s="151"/>
      <c r="N31" s="81"/>
      <c r="O31" s="78"/>
      <c r="P31" s="82"/>
      <c r="Q31" s="58"/>
      <c r="R31" s="297"/>
      <c r="S31" s="289"/>
      <c r="T31" s="289"/>
    </row>
    <row r="32" spans="1:20" s="103" customFormat="1" ht="36" x14ac:dyDescent="0.25">
      <c r="A32" s="59" t="s">
        <v>22</v>
      </c>
      <c r="B32" s="211" t="s">
        <v>177</v>
      </c>
      <c r="C32" s="200" t="s">
        <v>165</v>
      </c>
      <c r="D32" s="60" t="s">
        <v>184</v>
      </c>
      <c r="E32" s="61" t="s">
        <v>17</v>
      </c>
      <c r="F32" s="62" t="s">
        <v>20</v>
      </c>
      <c r="G32" s="417">
        <v>1</v>
      </c>
      <c r="H32" s="491">
        <v>64.34</v>
      </c>
      <c r="I32" s="492"/>
      <c r="J32" s="13"/>
      <c r="K32" s="11">
        <f t="shared" ref="K32:K88" si="7">H32+I32+J32</f>
        <v>64.34</v>
      </c>
      <c r="L32" s="216"/>
      <c r="M32" s="153"/>
      <c r="N32" s="65">
        <f t="shared" ref="N32:N41" si="8">L32+M32</f>
        <v>0</v>
      </c>
      <c r="O32" s="188">
        <f t="shared" ref="O32:O41" si="9">L32*K32</f>
        <v>0</v>
      </c>
      <c r="P32" s="67">
        <f t="shared" ref="P32:P41" si="10">M32*K32</f>
        <v>0</v>
      </c>
      <c r="Q32" s="68">
        <f t="shared" ref="Q32:Q41" si="11">O32+P32</f>
        <v>0</v>
      </c>
      <c r="R32" s="167" t="s">
        <v>122</v>
      </c>
      <c r="S32" s="291"/>
      <c r="T32" s="291"/>
    </row>
    <row r="33" spans="1:29" s="311" customFormat="1" x14ac:dyDescent="0.25">
      <c r="A33" s="59" t="s">
        <v>74</v>
      </c>
      <c r="B33" s="211" t="s">
        <v>178</v>
      </c>
      <c r="C33" s="217"/>
      <c r="D33" s="95" t="s">
        <v>190</v>
      </c>
      <c r="E33" s="61" t="s">
        <v>17</v>
      </c>
      <c r="F33" s="70" t="s">
        <v>19</v>
      </c>
      <c r="G33" s="493">
        <v>51</v>
      </c>
      <c r="H33" s="494">
        <f>ROUND(H32*G33,0)</f>
        <v>3281</v>
      </c>
      <c r="I33" s="493"/>
      <c r="J33" s="184"/>
      <c r="K33" s="11">
        <f>ROUND(H33+I33+J33,0)</f>
        <v>3281</v>
      </c>
      <c r="L33" s="148"/>
      <c r="M33" s="156"/>
      <c r="N33" s="65">
        <f t="shared" si="8"/>
        <v>0</v>
      </c>
      <c r="O33" s="188">
        <f t="shared" si="9"/>
        <v>0</v>
      </c>
      <c r="P33" s="67">
        <f t="shared" si="10"/>
        <v>0</v>
      </c>
      <c r="Q33" s="68">
        <f t="shared" si="11"/>
        <v>0</v>
      </c>
      <c r="R33" s="292"/>
      <c r="S33" s="310"/>
      <c r="T33" s="310"/>
    </row>
    <row r="34" spans="1:29" s="103" customFormat="1" x14ac:dyDescent="0.25">
      <c r="A34" s="59" t="s">
        <v>75</v>
      </c>
      <c r="B34" s="211" t="s">
        <v>178</v>
      </c>
      <c r="C34" s="218"/>
      <c r="D34" s="95" t="s">
        <v>201</v>
      </c>
      <c r="E34" s="61" t="s">
        <v>17</v>
      </c>
      <c r="F34" s="100" t="s">
        <v>18</v>
      </c>
      <c r="G34" s="495">
        <v>0.02</v>
      </c>
      <c r="H34" s="494">
        <f>G34*H32</f>
        <v>1.2868000000000002</v>
      </c>
      <c r="I34" s="496"/>
      <c r="J34" s="185"/>
      <c r="K34" s="11">
        <f t="shared" si="7"/>
        <v>1.2868000000000002</v>
      </c>
      <c r="L34" s="148"/>
      <c r="M34" s="156"/>
      <c r="N34" s="65">
        <f t="shared" si="8"/>
        <v>0</v>
      </c>
      <c r="O34" s="188">
        <f t="shared" si="9"/>
        <v>0</v>
      </c>
      <c r="P34" s="67">
        <f t="shared" si="10"/>
        <v>0</v>
      </c>
      <c r="Q34" s="68">
        <f t="shared" si="11"/>
        <v>0</v>
      </c>
      <c r="R34" s="167"/>
      <c r="S34" s="291"/>
      <c r="T34" s="291"/>
    </row>
    <row r="35" spans="1:29" s="103" customFormat="1" ht="18.75" customHeight="1" x14ac:dyDescent="0.25">
      <c r="A35" s="59" t="s">
        <v>187</v>
      </c>
      <c r="B35" s="211" t="s">
        <v>178</v>
      </c>
      <c r="C35" s="218"/>
      <c r="D35" s="95" t="s">
        <v>206</v>
      </c>
      <c r="E35" s="61" t="s">
        <v>17</v>
      </c>
      <c r="F35" s="100" t="s">
        <v>20</v>
      </c>
      <c r="G35" s="495">
        <v>1.1000000000000001</v>
      </c>
      <c r="H35" s="494">
        <f>44.65*G35</f>
        <v>49.115000000000002</v>
      </c>
      <c r="I35" s="496"/>
      <c r="J35" s="185"/>
      <c r="K35" s="11">
        <f t="shared" si="7"/>
        <v>49.115000000000002</v>
      </c>
      <c r="L35" s="148"/>
      <c r="M35" s="156"/>
      <c r="N35" s="65">
        <f t="shared" si="8"/>
        <v>0</v>
      </c>
      <c r="O35" s="188">
        <f t="shared" si="9"/>
        <v>0</v>
      </c>
      <c r="P35" s="67">
        <f t="shared" si="10"/>
        <v>0</v>
      </c>
      <c r="Q35" s="68">
        <f t="shared" si="11"/>
        <v>0</v>
      </c>
      <c r="R35" s="296"/>
      <c r="S35" s="291"/>
      <c r="T35" s="291"/>
    </row>
    <row r="36" spans="1:29" s="290" customFormat="1" ht="17.25" customHeight="1" x14ac:dyDescent="0.25">
      <c r="A36" s="49" t="s">
        <v>194</v>
      </c>
      <c r="B36" s="210"/>
      <c r="C36" s="199" t="s">
        <v>165</v>
      </c>
      <c r="D36" s="50" t="s">
        <v>301</v>
      </c>
      <c r="E36" s="75"/>
      <c r="F36" s="76"/>
      <c r="G36" s="465"/>
      <c r="H36" s="465"/>
      <c r="I36" s="465"/>
      <c r="J36" s="77"/>
      <c r="K36" s="15"/>
      <c r="L36" s="150"/>
      <c r="M36" s="151"/>
      <c r="N36" s="81"/>
      <c r="O36" s="78"/>
      <c r="P36" s="82"/>
      <c r="Q36" s="58"/>
      <c r="R36" s="297"/>
      <c r="S36" s="289"/>
      <c r="T36" s="289"/>
    </row>
    <row r="37" spans="1:29" s="103" customFormat="1" ht="36" x14ac:dyDescent="0.25">
      <c r="A37" s="59" t="s">
        <v>76</v>
      </c>
      <c r="B37" s="211" t="s">
        <v>177</v>
      </c>
      <c r="C37" s="200" t="s">
        <v>165</v>
      </c>
      <c r="D37" s="60" t="s">
        <v>302</v>
      </c>
      <c r="E37" s="61" t="s">
        <v>17</v>
      </c>
      <c r="F37" s="62" t="s">
        <v>20</v>
      </c>
      <c r="G37" s="417">
        <v>1</v>
      </c>
      <c r="H37" s="491">
        <f>138.46+24.8</f>
        <v>163.26000000000002</v>
      </c>
      <c r="I37" s="492"/>
      <c r="J37" s="13"/>
      <c r="K37" s="11">
        <f t="shared" ref="K37" si="12">H37+I37+J37</f>
        <v>163.26000000000002</v>
      </c>
      <c r="L37" s="216"/>
      <c r="M37" s="153"/>
      <c r="N37" s="65">
        <f t="shared" ref="N37:N40" si="13">L37+M37</f>
        <v>0</v>
      </c>
      <c r="O37" s="188">
        <f t="shared" ref="O37:O40" si="14">L37*K37</f>
        <v>0</v>
      </c>
      <c r="P37" s="67">
        <f t="shared" ref="P37:P40" si="15">M37*K37</f>
        <v>0</v>
      </c>
      <c r="Q37" s="68">
        <f t="shared" ref="Q37:Q40" si="16">O37+P37</f>
        <v>0</v>
      </c>
      <c r="R37" s="167" t="s">
        <v>122</v>
      </c>
      <c r="S37" s="291"/>
      <c r="T37" s="291"/>
    </row>
    <row r="38" spans="1:29" s="311" customFormat="1" ht="18.75" customHeight="1" x14ac:dyDescent="0.25">
      <c r="A38" s="59" t="s">
        <v>77</v>
      </c>
      <c r="B38" s="211" t="s">
        <v>178</v>
      </c>
      <c r="C38" s="217"/>
      <c r="D38" s="95" t="s">
        <v>303</v>
      </c>
      <c r="E38" s="61" t="s">
        <v>17</v>
      </c>
      <c r="F38" s="70" t="s">
        <v>19</v>
      </c>
      <c r="G38" s="497">
        <v>33</v>
      </c>
      <c r="H38" s="494">
        <f>ROUND(H37*G38,0)</f>
        <v>5388</v>
      </c>
      <c r="I38" s="493"/>
      <c r="J38" s="184"/>
      <c r="K38" s="11">
        <f>ROUND(H38+I38+J38,0)</f>
        <v>5388</v>
      </c>
      <c r="L38" s="148"/>
      <c r="M38" s="156"/>
      <c r="N38" s="65">
        <f t="shared" si="13"/>
        <v>0</v>
      </c>
      <c r="O38" s="498">
        <f t="shared" si="14"/>
        <v>0</v>
      </c>
      <c r="P38" s="67">
        <f t="shared" si="15"/>
        <v>0</v>
      </c>
      <c r="Q38" s="68">
        <f t="shared" si="16"/>
        <v>0</v>
      </c>
      <c r="R38" s="292"/>
      <c r="S38" s="310"/>
      <c r="T38" s="310"/>
    </row>
    <row r="39" spans="1:29" s="103" customFormat="1" ht="25.5" customHeight="1" x14ac:dyDescent="0.25">
      <c r="A39" s="59" t="s">
        <v>78</v>
      </c>
      <c r="B39" s="211" t="s">
        <v>178</v>
      </c>
      <c r="C39" s="218"/>
      <c r="D39" s="95" t="s">
        <v>201</v>
      </c>
      <c r="E39" s="61" t="s">
        <v>17</v>
      </c>
      <c r="F39" s="100" t="s">
        <v>18</v>
      </c>
      <c r="G39" s="495">
        <v>0.02</v>
      </c>
      <c r="H39" s="494">
        <f>G39*H37</f>
        <v>3.2652000000000005</v>
      </c>
      <c r="I39" s="496"/>
      <c r="J39" s="185"/>
      <c r="K39" s="11">
        <f t="shared" ref="K39:K40" si="17">H39+I39+J39</f>
        <v>3.2652000000000005</v>
      </c>
      <c r="L39" s="148"/>
      <c r="M39" s="156"/>
      <c r="N39" s="65">
        <f t="shared" si="13"/>
        <v>0</v>
      </c>
      <c r="O39" s="188">
        <f t="shared" si="14"/>
        <v>0</v>
      </c>
      <c r="P39" s="67">
        <f t="shared" si="15"/>
        <v>0</v>
      </c>
      <c r="Q39" s="68">
        <f t="shared" si="16"/>
        <v>0</v>
      </c>
      <c r="R39" s="167"/>
      <c r="S39" s="291"/>
      <c r="T39" s="291"/>
    </row>
    <row r="40" spans="1:29" s="103" customFormat="1" ht="29.25" customHeight="1" x14ac:dyDescent="0.25">
      <c r="A40" s="59" t="s">
        <v>79</v>
      </c>
      <c r="B40" s="211" t="s">
        <v>178</v>
      </c>
      <c r="C40" s="218"/>
      <c r="D40" s="95" t="s">
        <v>206</v>
      </c>
      <c r="E40" s="61" t="s">
        <v>17</v>
      </c>
      <c r="F40" s="100" t="s">
        <v>20</v>
      </c>
      <c r="G40" s="495">
        <v>1.1000000000000001</v>
      </c>
      <c r="H40" s="494">
        <f>44.05*G40</f>
        <v>48.454999999999998</v>
      </c>
      <c r="I40" s="496"/>
      <c r="J40" s="185"/>
      <c r="K40" s="11">
        <f t="shared" si="17"/>
        <v>48.454999999999998</v>
      </c>
      <c r="L40" s="148"/>
      <c r="M40" s="156"/>
      <c r="N40" s="65">
        <f t="shared" si="13"/>
        <v>0</v>
      </c>
      <c r="O40" s="188">
        <f t="shared" si="14"/>
        <v>0</v>
      </c>
      <c r="P40" s="67">
        <f t="shared" si="15"/>
        <v>0</v>
      </c>
      <c r="Q40" s="68">
        <f t="shared" si="16"/>
        <v>0</v>
      </c>
      <c r="R40" s="296"/>
      <c r="S40" s="291"/>
      <c r="T40" s="291"/>
    </row>
    <row r="41" spans="1:29" s="287" customFormat="1" ht="18.75" customHeight="1" x14ac:dyDescent="0.25">
      <c r="A41" s="31"/>
      <c r="B41" s="212"/>
      <c r="C41" s="203"/>
      <c r="D41" s="33" t="s">
        <v>32</v>
      </c>
      <c r="E41" s="104"/>
      <c r="F41" s="104"/>
      <c r="G41" s="321"/>
      <c r="H41" s="34"/>
      <c r="I41" s="34"/>
      <c r="J41" s="35"/>
      <c r="K41" s="34"/>
      <c r="L41" s="138"/>
      <c r="M41" s="139"/>
      <c r="N41" s="90">
        <f t="shared" si="8"/>
        <v>0</v>
      </c>
      <c r="O41" s="89">
        <f t="shared" si="9"/>
        <v>0</v>
      </c>
      <c r="P41" s="91">
        <f t="shared" si="10"/>
        <v>0</v>
      </c>
      <c r="Q41" s="92">
        <f t="shared" si="11"/>
        <v>0</v>
      </c>
      <c r="R41" s="162"/>
      <c r="S41" s="163"/>
      <c r="T41" s="163"/>
      <c r="U41" s="38"/>
      <c r="V41" s="38"/>
      <c r="W41" s="38"/>
      <c r="X41" s="38"/>
      <c r="Y41" s="39"/>
      <c r="Z41" s="39"/>
      <c r="AA41" s="39"/>
      <c r="AB41" s="39"/>
      <c r="AC41" s="39"/>
    </row>
    <row r="42" spans="1:29" s="290" customFormat="1" ht="22.5" customHeight="1" x14ac:dyDescent="0.25">
      <c r="A42" s="49" t="s">
        <v>80</v>
      </c>
      <c r="B42" s="210"/>
      <c r="C42" s="199" t="s">
        <v>165</v>
      </c>
      <c r="D42" s="50" t="s">
        <v>48</v>
      </c>
      <c r="E42" s="51"/>
      <c r="F42" s="52"/>
      <c r="G42" s="53"/>
      <c r="H42" s="54"/>
      <c r="I42" s="54"/>
      <c r="J42" s="53"/>
      <c r="K42" s="14"/>
      <c r="L42" s="142"/>
      <c r="M42" s="143"/>
      <c r="N42" s="81"/>
      <c r="O42" s="78"/>
      <c r="P42" s="82"/>
      <c r="Q42" s="58"/>
      <c r="R42" s="297"/>
      <c r="S42" s="289"/>
      <c r="T42" s="289"/>
    </row>
    <row r="43" spans="1:29" s="103" customFormat="1" ht="43.5" customHeight="1" x14ac:dyDescent="0.25">
      <c r="A43" s="59" t="s">
        <v>81</v>
      </c>
      <c r="B43" s="211" t="s">
        <v>177</v>
      </c>
      <c r="C43" s="200" t="s">
        <v>165</v>
      </c>
      <c r="D43" s="60" t="s">
        <v>185</v>
      </c>
      <c r="E43" s="61" t="s">
        <v>17</v>
      </c>
      <c r="F43" s="62" t="s">
        <v>18</v>
      </c>
      <c r="G43" s="105">
        <v>1</v>
      </c>
      <c r="H43" s="64"/>
      <c r="I43" s="64"/>
      <c r="J43" s="63">
        <v>17.940000000000001</v>
      </c>
      <c r="K43" s="11">
        <f>H43+I43+J43</f>
        <v>17.940000000000001</v>
      </c>
      <c r="L43" s="144"/>
      <c r="M43" s="145"/>
      <c r="N43" s="65">
        <f t="shared" ref="N43:N60" si="18">L43+M43</f>
        <v>0</v>
      </c>
      <c r="O43" s="66">
        <f t="shared" ref="O43:O60" si="19">L43*K43</f>
        <v>0</v>
      </c>
      <c r="P43" s="67">
        <f t="shared" ref="P43:P58" si="20">M43*K43</f>
        <v>0</v>
      </c>
      <c r="Q43" s="68">
        <f t="shared" ref="Q43:Q91" si="21">O43+P43</f>
        <v>0</v>
      </c>
      <c r="R43" s="167" t="s">
        <v>122</v>
      </c>
      <c r="S43" s="291"/>
      <c r="T43" s="291"/>
    </row>
    <row r="44" spans="1:29" s="294" customFormat="1" ht="36" customHeight="1" x14ac:dyDescent="0.25">
      <c r="A44" s="59" t="s">
        <v>82</v>
      </c>
      <c r="B44" s="211" t="s">
        <v>178</v>
      </c>
      <c r="C44" s="201"/>
      <c r="D44" s="183" t="s">
        <v>121</v>
      </c>
      <c r="E44" s="74" t="s">
        <v>17</v>
      </c>
      <c r="F44" s="70" t="s">
        <v>18</v>
      </c>
      <c r="G44" s="71">
        <v>1.05</v>
      </c>
      <c r="H44" s="70"/>
      <c r="I44" s="70"/>
      <c r="J44" s="71">
        <f>ROUND(J43*G44,2)</f>
        <v>18.84</v>
      </c>
      <c r="K44" s="11">
        <f>ROUND(H44+I44+J44,2)</f>
        <v>18.84</v>
      </c>
      <c r="L44" s="146"/>
      <c r="M44" s="147"/>
      <c r="N44" s="65">
        <f t="shared" si="18"/>
        <v>0</v>
      </c>
      <c r="O44" s="66">
        <f t="shared" si="19"/>
        <v>0</v>
      </c>
      <c r="P44" s="67">
        <f t="shared" si="20"/>
        <v>0</v>
      </c>
      <c r="Q44" s="68">
        <f t="shared" si="21"/>
        <v>0</v>
      </c>
      <c r="R44" s="292"/>
      <c r="S44" s="293"/>
      <c r="T44" s="293"/>
    </row>
    <row r="45" spans="1:29" x14ac:dyDescent="0.25">
      <c r="A45" s="59" t="s">
        <v>83</v>
      </c>
      <c r="B45" s="211" t="s">
        <v>178</v>
      </c>
      <c r="C45" s="202"/>
      <c r="D45" s="95" t="s">
        <v>201</v>
      </c>
      <c r="E45" s="74" t="s">
        <v>17</v>
      </c>
      <c r="F45" s="100" t="s">
        <v>18</v>
      </c>
      <c r="G45" s="102">
        <v>0.22</v>
      </c>
      <c r="H45" s="70"/>
      <c r="I45" s="74"/>
      <c r="J45" s="102">
        <f>3.65*G45</f>
        <v>0.80299999999999994</v>
      </c>
      <c r="K45" s="11">
        <f t="shared" ref="K45:K47" si="22">H45+I45+J45</f>
        <v>0.80299999999999994</v>
      </c>
      <c r="L45" s="148"/>
      <c r="M45" s="149"/>
      <c r="N45" s="65">
        <f t="shared" si="18"/>
        <v>0</v>
      </c>
      <c r="O45" s="66">
        <f t="shared" si="19"/>
        <v>0</v>
      </c>
      <c r="P45" s="67">
        <f t="shared" si="20"/>
        <v>0</v>
      </c>
      <c r="Q45" s="68">
        <f t="shared" si="21"/>
        <v>0</v>
      </c>
      <c r="R45" s="167"/>
    </row>
    <row r="46" spans="1:29" ht="20.25" customHeight="1" x14ac:dyDescent="0.25">
      <c r="A46" s="59" t="s">
        <v>84</v>
      </c>
      <c r="B46" s="211" t="s">
        <v>178</v>
      </c>
      <c r="C46" s="202"/>
      <c r="D46" s="95" t="s">
        <v>173</v>
      </c>
      <c r="E46" s="74" t="s">
        <v>17</v>
      </c>
      <c r="F46" s="100" t="s">
        <v>23</v>
      </c>
      <c r="G46" s="102">
        <v>30</v>
      </c>
      <c r="H46" s="70"/>
      <c r="I46" s="74"/>
      <c r="J46" s="102">
        <f>(17.91-3.6)*G46</f>
        <v>429.3</v>
      </c>
      <c r="K46" s="11">
        <f>H46+I46+J46</f>
        <v>429.3</v>
      </c>
      <c r="L46" s="177"/>
      <c r="M46" s="149"/>
      <c r="N46" s="65">
        <f t="shared" si="18"/>
        <v>0</v>
      </c>
      <c r="O46" s="66">
        <f t="shared" si="19"/>
        <v>0</v>
      </c>
      <c r="P46" s="67">
        <f t="shared" si="20"/>
        <v>0</v>
      </c>
      <c r="Q46" s="68">
        <f t="shared" si="21"/>
        <v>0</v>
      </c>
      <c r="R46" s="167"/>
    </row>
    <row r="47" spans="1:29" ht="25.5" customHeight="1" x14ac:dyDescent="0.25">
      <c r="A47" s="59" t="s">
        <v>329</v>
      </c>
      <c r="B47" s="211" t="s">
        <v>178</v>
      </c>
      <c r="C47" s="202"/>
      <c r="D47" s="95" t="s">
        <v>206</v>
      </c>
      <c r="E47" s="74" t="s">
        <v>17</v>
      </c>
      <c r="F47" s="100" t="s">
        <v>20</v>
      </c>
      <c r="G47" s="73">
        <v>1.1000000000000001</v>
      </c>
      <c r="H47" s="70"/>
      <c r="I47" s="69"/>
      <c r="J47" s="73">
        <f>70.7*G47</f>
        <v>77.77000000000001</v>
      </c>
      <c r="K47" s="11">
        <f t="shared" si="22"/>
        <v>77.77000000000001</v>
      </c>
      <c r="L47" s="148"/>
      <c r="M47" s="149"/>
      <c r="N47" s="65">
        <f t="shared" si="18"/>
        <v>0</v>
      </c>
      <c r="O47" s="66">
        <f t="shared" si="19"/>
        <v>0</v>
      </c>
      <c r="P47" s="67">
        <f t="shared" si="20"/>
        <v>0</v>
      </c>
      <c r="Q47" s="68">
        <f t="shared" si="21"/>
        <v>0</v>
      </c>
      <c r="R47" s="298"/>
    </row>
    <row r="48" spans="1:29" s="290" customFormat="1" ht="27" customHeight="1" x14ac:dyDescent="0.25">
      <c r="A48" s="49" t="s">
        <v>85</v>
      </c>
      <c r="B48" s="210"/>
      <c r="C48" s="199" t="s">
        <v>165</v>
      </c>
      <c r="D48" s="50" t="s">
        <v>51</v>
      </c>
      <c r="E48" s="75"/>
      <c r="F48" s="76"/>
      <c r="G48" s="77"/>
      <c r="H48" s="79"/>
      <c r="I48" s="80"/>
      <c r="J48" s="77"/>
      <c r="K48" s="15"/>
      <c r="L48" s="150"/>
      <c r="M48" s="151"/>
      <c r="N48" s="81"/>
      <c r="O48" s="78"/>
      <c r="P48" s="82"/>
      <c r="Q48" s="58"/>
      <c r="R48" s="297"/>
      <c r="S48" s="289"/>
      <c r="T48" s="289"/>
    </row>
    <row r="49" spans="1:20" s="103" customFormat="1" ht="36" x14ac:dyDescent="0.25">
      <c r="A49" s="59" t="s">
        <v>86</v>
      </c>
      <c r="B49" s="211" t="s">
        <v>177</v>
      </c>
      <c r="C49" s="200" t="s">
        <v>165</v>
      </c>
      <c r="D49" s="60" t="s">
        <v>184</v>
      </c>
      <c r="E49" s="61" t="s">
        <v>17</v>
      </c>
      <c r="F49" s="251" t="s">
        <v>20</v>
      </c>
      <c r="G49" s="256">
        <v>1</v>
      </c>
      <c r="H49" s="247"/>
      <c r="I49" s="264"/>
      <c r="J49" s="247">
        <v>271.70999999999998</v>
      </c>
      <c r="K49" s="247">
        <f>H49+I49+J49</f>
        <v>271.70999999999998</v>
      </c>
      <c r="L49" s="265"/>
      <c r="M49" s="153"/>
      <c r="N49" s="65">
        <f t="shared" si="18"/>
        <v>0</v>
      </c>
      <c r="O49" s="66">
        <f t="shared" si="19"/>
        <v>0</v>
      </c>
      <c r="P49" s="67">
        <f t="shared" si="20"/>
        <v>0</v>
      </c>
      <c r="Q49" s="68">
        <f t="shared" si="21"/>
        <v>0</v>
      </c>
      <c r="R49" s="166" t="s">
        <v>122</v>
      </c>
      <c r="S49" s="291"/>
      <c r="T49" s="291"/>
    </row>
    <row r="50" spans="1:20" s="294" customFormat="1" ht="18.75" customHeight="1" x14ac:dyDescent="0.25">
      <c r="A50" s="59" t="s">
        <v>87</v>
      </c>
      <c r="B50" s="211" t="s">
        <v>178</v>
      </c>
      <c r="C50" s="201"/>
      <c r="D50" s="95" t="s">
        <v>190</v>
      </c>
      <c r="E50" s="61" t="s">
        <v>17</v>
      </c>
      <c r="F50" s="266" t="s">
        <v>19</v>
      </c>
      <c r="G50" s="267">
        <v>51</v>
      </c>
      <c r="H50" s="266"/>
      <c r="I50" s="267"/>
      <c r="J50" s="266">
        <f>ROUND(J49*G50,0)</f>
        <v>13857</v>
      </c>
      <c r="K50" s="247">
        <f>ROUND(H50+I50+J50,0)</f>
        <v>13857</v>
      </c>
      <c r="L50" s="268"/>
      <c r="M50" s="149"/>
      <c r="N50" s="65">
        <f t="shared" si="18"/>
        <v>0</v>
      </c>
      <c r="O50" s="66">
        <f t="shared" si="19"/>
        <v>0</v>
      </c>
      <c r="P50" s="67">
        <f t="shared" si="20"/>
        <v>0</v>
      </c>
      <c r="Q50" s="68">
        <f t="shared" si="21"/>
        <v>0</v>
      </c>
      <c r="R50" s="299"/>
      <c r="S50" s="293"/>
      <c r="T50" s="293"/>
    </row>
    <row r="51" spans="1:20" x14ac:dyDescent="0.25">
      <c r="A51" s="59" t="s">
        <v>88</v>
      </c>
      <c r="B51" s="211" t="s">
        <v>178</v>
      </c>
      <c r="C51" s="202"/>
      <c r="D51" s="95" t="s">
        <v>201</v>
      </c>
      <c r="E51" s="61" t="s">
        <v>17</v>
      </c>
      <c r="F51" s="245" t="s">
        <v>18</v>
      </c>
      <c r="G51" s="246">
        <v>0.02</v>
      </c>
      <c r="H51" s="266"/>
      <c r="I51" s="245"/>
      <c r="J51" s="266">
        <f>G51*J49</f>
        <v>5.4341999999999997</v>
      </c>
      <c r="K51" s="247">
        <f>H51+I51+J51</f>
        <v>5.4341999999999997</v>
      </c>
      <c r="L51" s="268"/>
      <c r="M51" s="149"/>
      <c r="N51" s="65">
        <f t="shared" si="18"/>
        <v>0</v>
      </c>
      <c r="O51" s="66">
        <f t="shared" si="19"/>
        <v>0</v>
      </c>
      <c r="P51" s="67">
        <f t="shared" si="20"/>
        <v>0</v>
      </c>
      <c r="Q51" s="68">
        <f t="shared" si="21"/>
        <v>0</v>
      </c>
      <c r="R51" s="167"/>
    </row>
    <row r="52" spans="1:20" ht="20.25" customHeight="1" x14ac:dyDescent="0.25">
      <c r="A52" s="59" t="s">
        <v>89</v>
      </c>
      <c r="B52" s="211" t="s">
        <v>178</v>
      </c>
      <c r="C52" s="202"/>
      <c r="D52" s="95" t="s">
        <v>206</v>
      </c>
      <c r="E52" s="61" t="s">
        <v>17</v>
      </c>
      <c r="F52" s="245" t="s">
        <v>20</v>
      </c>
      <c r="G52" s="246">
        <v>1.1000000000000001</v>
      </c>
      <c r="H52" s="266"/>
      <c r="I52" s="245"/>
      <c r="J52" s="266">
        <f>8.09*16*G52</f>
        <v>142.38400000000001</v>
      </c>
      <c r="K52" s="247">
        <f>H52+I52+J52</f>
        <v>142.38400000000001</v>
      </c>
      <c r="L52" s="268"/>
      <c r="M52" s="149"/>
      <c r="N52" s="65">
        <f t="shared" si="18"/>
        <v>0</v>
      </c>
      <c r="O52" s="66">
        <f t="shared" si="19"/>
        <v>0</v>
      </c>
      <c r="P52" s="67">
        <f t="shared" si="20"/>
        <v>0</v>
      </c>
      <c r="Q52" s="68">
        <f t="shared" si="21"/>
        <v>0</v>
      </c>
      <c r="R52" s="298"/>
    </row>
    <row r="53" spans="1:20" s="287" customFormat="1" ht="20.25" customHeight="1" x14ac:dyDescent="0.25">
      <c r="A53" s="83"/>
      <c r="B53" s="213"/>
      <c r="C53" s="204"/>
      <c r="D53" s="84" t="s">
        <v>62</v>
      </c>
      <c r="E53" s="85"/>
      <c r="F53" s="86"/>
      <c r="G53" s="323"/>
      <c r="H53" s="88"/>
      <c r="I53" s="88"/>
      <c r="J53" s="87"/>
      <c r="K53" s="16"/>
      <c r="L53" s="154"/>
      <c r="M53" s="155"/>
      <c r="N53" s="90"/>
      <c r="O53" s="89"/>
      <c r="P53" s="91"/>
      <c r="Q53" s="92"/>
      <c r="R53" s="300"/>
      <c r="S53" s="301"/>
      <c r="T53" s="301"/>
    </row>
    <row r="54" spans="1:20" s="304" customFormat="1" ht="20.25" customHeight="1" x14ac:dyDescent="0.2">
      <c r="A54" s="49" t="s">
        <v>90</v>
      </c>
      <c r="B54" s="210" t="s">
        <v>177</v>
      </c>
      <c r="C54" s="205"/>
      <c r="D54" s="98" t="s">
        <v>171</v>
      </c>
      <c r="E54" s="219" t="s">
        <v>17</v>
      </c>
      <c r="F54" s="220" t="s">
        <v>19</v>
      </c>
      <c r="G54" s="53">
        <v>1</v>
      </c>
      <c r="H54" s="94">
        <v>16</v>
      </c>
      <c r="I54" s="94"/>
      <c r="J54" s="93"/>
      <c r="K54" s="15">
        <f>H54+I54+J54</f>
        <v>16</v>
      </c>
      <c r="L54" s="157"/>
      <c r="M54" s="158"/>
      <c r="N54" s="81">
        <f t="shared" si="18"/>
        <v>0</v>
      </c>
      <c r="O54" s="99">
        <f t="shared" si="19"/>
        <v>0</v>
      </c>
      <c r="P54" s="82">
        <f t="shared" si="20"/>
        <v>0</v>
      </c>
      <c r="Q54" s="58">
        <f t="shared" si="21"/>
        <v>0</v>
      </c>
      <c r="R54" s="302"/>
      <c r="S54" s="303"/>
      <c r="T54" s="303"/>
    </row>
    <row r="55" spans="1:20" ht="20.25" customHeight="1" x14ac:dyDescent="0.25">
      <c r="A55" s="59" t="s">
        <v>91</v>
      </c>
      <c r="B55" s="211" t="s">
        <v>178</v>
      </c>
      <c r="C55" s="206" t="s">
        <v>54</v>
      </c>
      <c r="D55" s="95" t="s">
        <v>59</v>
      </c>
      <c r="E55" s="61" t="s">
        <v>17</v>
      </c>
      <c r="F55" s="62" t="s">
        <v>21</v>
      </c>
      <c r="G55" s="105">
        <v>1.04</v>
      </c>
      <c r="H55" s="64">
        <f>14*1.5*6.89/1000*G55</f>
        <v>0.15047759999999999</v>
      </c>
      <c r="I55" s="64"/>
      <c r="J55" s="63"/>
      <c r="K55" s="11">
        <f>H55+I55+J55</f>
        <v>0.15047759999999999</v>
      </c>
      <c r="L55" s="148"/>
      <c r="M55" s="149"/>
      <c r="N55" s="65">
        <f t="shared" si="18"/>
        <v>0</v>
      </c>
      <c r="O55" s="66">
        <f t="shared" si="19"/>
        <v>0</v>
      </c>
      <c r="P55" s="67">
        <f t="shared" si="20"/>
        <v>0</v>
      </c>
      <c r="Q55" s="68">
        <f t="shared" si="21"/>
        <v>0</v>
      </c>
      <c r="R55" s="298"/>
    </row>
    <row r="56" spans="1:20" ht="20.25" customHeight="1" x14ac:dyDescent="0.25">
      <c r="A56" s="59" t="s">
        <v>92</v>
      </c>
      <c r="B56" s="211" t="s">
        <v>178</v>
      </c>
      <c r="C56" s="206" t="s">
        <v>54</v>
      </c>
      <c r="D56" s="95" t="s">
        <v>34</v>
      </c>
      <c r="E56" s="61" t="s">
        <v>17</v>
      </c>
      <c r="F56" s="62" t="s">
        <v>21</v>
      </c>
      <c r="G56" s="105">
        <v>1.04</v>
      </c>
      <c r="H56" s="64">
        <f>21*0.471/1000*G56</f>
        <v>1.0286640000000001E-2</v>
      </c>
      <c r="I56" s="64"/>
      <c r="J56" s="63"/>
      <c r="K56" s="11">
        <f t="shared" ref="K56:K63" si="23">H56+I56+J56</f>
        <v>1.0286640000000001E-2</v>
      </c>
      <c r="L56" s="148"/>
      <c r="M56" s="149"/>
      <c r="N56" s="65">
        <f t="shared" si="18"/>
        <v>0</v>
      </c>
      <c r="O56" s="66">
        <f t="shared" si="19"/>
        <v>0</v>
      </c>
      <c r="P56" s="67">
        <f t="shared" si="20"/>
        <v>0</v>
      </c>
      <c r="Q56" s="68">
        <f t="shared" si="21"/>
        <v>0</v>
      </c>
      <c r="R56" s="298"/>
    </row>
    <row r="57" spans="1:20" s="103" customFormat="1" ht="20.25" customHeight="1" x14ac:dyDescent="0.25">
      <c r="A57" s="59" t="s">
        <v>93</v>
      </c>
      <c r="B57" s="211" t="s">
        <v>178</v>
      </c>
      <c r="C57" s="206"/>
      <c r="D57" s="95" t="s">
        <v>201</v>
      </c>
      <c r="E57" s="61" t="s">
        <v>17</v>
      </c>
      <c r="F57" s="62" t="s">
        <v>18</v>
      </c>
      <c r="G57" s="105">
        <v>1</v>
      </c>
      <c r="H57" s="96">
        <f>0.025*1.4*0.2+0.025*1.2*0.12+0.025*1*0.2+0.025*0.2*1.11*2+1.6*0.025*0.2+0.025*0.2*0.8*3*G57</f>
        <v>4.6700000000000005E-2</v>
      </c>
      <c r="I57" s="64"/>
      <c r="J57" s="63"/>
      <c r="K57" s="242">
        <f>H57+I57+J57</f>
        <v>4.6700000000000005E-2</v>
      </c>
      <c r="L57" s="148"/>
      <c r="M57" s="156"/>
      <c r="N57" s="65">
        <f t="shared" si="18"/>
        <v>0</v>
      </c>
      <c r="O57" s="66">
        <f t="shared" si="19"/>
        <v>0</v>
      </c>
      <c r="P57" s="67">
        <f t="shared" si="20"/>
        <v>0</v>
      </c>
      <c r="Q57" s="68">
        <f t="shared" si="21"/>
        <v>0</v>
      </c>
      <c r="R57" s="296"/>
      <c r="S57" s="291"/>
      <c r="T57" s="291"/>
    </row>
    <row r="58" spans="1:20" s="103" customFormat="1" ht="20.25" customHeight="1" x14ac:dyDescent="0.25">
      <c r="A58" s="59" t="s">
        <v>94</v>
      </c>
      <c r="B58" s="211" t="s">
        <v>178</v>
      </c>
      <c r="C58" s="206"/>
      <c r="D58" s="95" t="s">
        <v>65</v>
      </c>
      <c r="E58" s="61" t="s">
        <v>17</v>
      </c>
      <c r="F58" s="62" t="s">
        <v>21</v>
      </c>
      <c r="G58" s="105">
        <v>1.04</v>
      </c>
      <c r="H58" s="96">
        <f>(5*1.4*0.888+1.2*3*0.888+1*5*0.888+1.11*10*0.888+1.6*5*0.888+0.8*15*0.888)/1000*G58</f>
        <v>4.3128384000000006E-2</v>
      </c>
      <c r="I58" s="96"/>
      <c r="J58" s="97"/>
      <c r="K58" s="242">
        <f t="shared" si="23"/>
        <v>4.3128384000000006E-2</v>
      </c>
      <c r="L58" s="148"/>
      <c r="M58" s="156"/>
      <c r="N58" s="65">
        <f t="shared" si="18"/>
        <v>0</v>
      </c>
      <c r="O58" s="66">
        <f t="shared" si="19"/>
        <v>0</v>
      </c>
      <c r="P58" s="67">
        <f t="shared" si="20"/>
        <v>0</v>
      </c>
      <c r="Q58" s="68">
        <f t="shared" si="21"/>
        <v>0</v>
      </c>
      <c r="R58" s="296"/>
      <c r="S58" s="291"/>
      <c r="T58" s="291"/>
    </row>
    <row r="59" spans="1:20" s="304" customFormat="1" ht="28.5" customHeight="1" x14ac:dyDescent="0.2">
      <c r="A59" s="49" t="s">
        <v>95</v>
      </c>
      <c r="B59" s="210" t="s">
        <v>177</v>
      </c>
      <c r="C59" s="205"/>
      <c r="D59" s="98" t="s">
        <v>164</v>
      </c>
      <c r="E59" s="51" t="s">
        <v>17</v>
      </c>
      <c r="F59" s="52" t="s">
        <v>19</v>
      </c>
      <c r="G59" s="53">
        <v>1</v>
      </c>
      <c r="H59" s="94">
        <f>60+25</f>
        <v>85</v>
      </c>
      <c r="I59" s="94"/>
      <c r="J59" s="93"/>
      <c r="K59" s="15">
        <f t="shared" si="23"/>
        <v>85</v>
      </c>
      <c r="L59" s="157"/>
      <c r="M59" s="158"/>
      <c r="N59" s="81">
        <f t="shared" si="18"/>
        <v>0</v>
      </c>
      <c r="O59" s="99">
        <f t="shared" si="19"/>
        <v>0</v>
      </c>
      <c r="P59" s="82">
        <f>M59*K59</f>
        <v>0</v>
      </c>
      <c r="Q59" s="58">
        <f t="shared" si="21"/>
        <v>0</v>
      </c>
      <c r="R59" s="302"/>
      <c r="S59" s="303"/>
      <c r="T59" s="303"/>
    </row>
    <row r="60" spans="1:20" s="103" customFormat="1" ht="24" customHeight="1" x14ac:dyDescent="0.25">
      <c r="A60" s="253" t="s">
        <v>96</v>
      </c>
      <c r="B60" s="254" t="s">
        <v>178</v>
      </c>
      <c r="C60" s="207" t="s">
        <v>239</v>
      </c>
      <c r="D60" s="263" t="s">
        <v>218</v>
      </c>
      <c r="E60" s="101" t="s">
        <v>17</v>
      </c>
      <c r="F60" s="251" t="s">
        <v>21</v>
      </c>
      <c r="G60" s="255">
        <v>1.04</v>
      </c>
      <c r="H60" s="256">
        <f>0.084525*G60</f>
        <v>8.7906000000000012E-2</v>
      </c>
      <c r="I60" s="256"/>
      <c r="J60" s="255"/>
      <c r="K60" s="11">
        <f t="shared" si="23"/>
        <v>8.7906000000000012E-2</v>
      </c>
      <c r="L60" s="258"/>
      <c r="M60" s="259"/>
      <c r="N60" s="65">
        <f t="shared" si="18"/>
        <v>0</v>
      </c>
      <c r="O60" s="260">
        <f t="shared" si="19"/>
        <v>0</v>
      </c>
      <c r="P60" s="67">
        <f>M60*K60</f>
        <v>0</v>
      </c>
      <c r="Q60" s="68">
        <f t="shared" si="21"/>
        <v>0</v>
      </c>
      <c r="R60" s="305"/>
      <c r="S60" s="291"/>
      <c r="T60" s="291"/>
    </row>
    <row r="61" spans="1:20" s="243" customFormat="1" x14ac:dyDescent="0.25">
      <c r="A61" s="253" t="s">
        <v>97</v>
      </c>
      <c r="B61" s="214" t="s">
        <v>178</v>
      </c>
      <c r="C61" s="207" t="s">
        <v>35</v>
      </c>
      <c r="D61" s="263" t="s">
        <v>219</v>
      </c>
      <c r="E61" s="101" t="s">
        <v>17</v>
      </c>
      <c r="F61" s="100" t="s">
        <v>21</v>
      </c>
      <c r="G61" s="102">
        <v>1.04</v>
      </c>
      <c r="H61" s="74">
        <f>0.1539825*G61</f>
        <v>0.1601418</v>
      </c>
      <c r="I61" s="74"/>
      <c r="J61" s="102"/>
      <c r="K61" s="11">
        <f t="shared" si="23"/>
        <v>0.1601418</v>
      </c>
      <c r="L61" s="148"/>
      <c r="M61" s="156"/>
      <c r="N61" s="65">
        <f>L61+M61</f>
        <v>0</v>
      </c>
      <c r="O61" s="188">
        <f>L61*K61</f>
        <v>0</v>
      </c>
      <c r="P61" s="67">
        <f>M61*K61</f>
        <v>0</v>
      </c>
      <c r="Q61" s="68">
        <f t="shared" si="21"/>
        <v>0</v>
      </c>
      <c r="R61" s="296"/>
      <c r="S61" s="306"/>
      <c r="T61" s="306"/>
    </row>
    <row r="62" spans="1:20" s="243" customFormat="1" x14ac:dyDescent="0.25">
      <c r="A62" s="253" t="s">
        <v>98</v>
      </c>
      <c r="B62" s="214" t="s">
        <v>178</v>
      </c>
      <c r="C62" s="207" t="s">
        <v>36</v>
      </c>
      <c r="D62" s="263" t="s">
        <v>220</v>
      </c>
      <c r="E62" s="101" t="s">
        <v>17</v>
      </c>
      <c r="F62" s="100" t="s">
        <v>21</v>
      </c>
      <c r="G62" s="102">
        <v>1.04</v>
      </c>
      <c r="H62" s="74">
        <f>0.060515*G62</f>
        <v>6.2935600000000008E-2</v>
      </c>
      <c r="I62" s="74"/>
      <c r="J62" s="102"/>
      <c r="K62" s="11">
        <f t="shared" si="23"/>
        <v>6.2935600000000008E-2</v>
      </c>
      <c r="L62" s="148"/>
      <c r="M62" s="156"/>
      <c r="N62" s="65">
        <f t="shared" ref="N62:N91" si="24">L62+M62</f>
        <v>0</v>
      </c>
      <c r="O62" s="188">
        <f t="shared" ref="O62:O91" si="25">L62*K62</f>
        <v>0</v>
      </c>
      <c r="P62" s="67">
        <f t="shared" ref="P62:P91" si="26">M62*K62</f>
        <v>0</v>
      </c>
      <c r="Q62" s="68">
        <f t="shared" si="21"/>
        <v>0</v>
      </c>
      <c r="R62" s="296"/>
      <c r="S62" s="306"/>
      <c r="T62" s="306"/>
    </row>
    <row r="63" spans="1:20" s="243" customFormat="1" x14ac:dyDescent="0.25">
      <c r="A63" s="253" t="s">
        <v>99</v>
      </c>
      <c r="B63" s="214" t="s">
        <v>178</v>
      </c>
      <c r="C63" s="207" t="s">
        <v>37</v>
      </c>
      <c r="D63" s="263" t="s">
        <v>221</v>
      </c>
      <c r="E63" s="101" t="s">
        <v>17</v>
      </c>
      <c r="F63" s="100" t="s">
        <v>21</v>
      </c>
      <c r="G63" s="102">
        <v>1.04</v>
      </c>
      <c r="H63" s="74">
        <f>0.062475*G63</f>
        <v>6.4974000000000004E-2</v>
      </c>
      <c r="I63" s="74"/>
      <c r="J63" s="102"/>
      <c r="K63" s="11">
        <f t="shared" si="23"/>
        <v>6.4974000000000004E-2</v>
      </c>
      <c r="L63" s="148"/>
      <c r="M63" s="156"/>
      <c r="N63" s="65">
        <f t="shared" si="24"/>
        <v>0</v>
      </c>
      <c r="O63" s="188">
        <f t="shared" si="25"/>
        <v>0</v>
      </c>
      <c r="P63" s="67">
        <f t="shared" si="26"/>
        <v>0</v>
      </c>
      <c r="Q63" s="68">
        <f t="shared" si="21"/>
        <v>0</v>
      </c>
      <c r="R63" s="296"/>
      <c r="S63" s="306"/>
      <c r="T63" s="306"/>
    </row>
    <row r="64" spans="1:20" s="243" customFormat="1" x14ac:dyDescent="0.25">
      <c r="A64" s="253" t="s">
        <v>100</v>
      </c>
      <c r="B64" s="214" t="s">
        <v>178</v>
      </c>
      <c r="C64" s="207" t="s">
        <v>38</v>
      </c>
      <c r="D64" s="263" t="s">
        <v>222</v>
      </c>
      <c r="E64" s="101" t="s">
        <v>17</v>
      </c>
      <c r="F64" s="100" t="s">
        <v>21</v>
      </c>
      <c r="G64" s="102">
        <v>1.04</v>
      </c>
      <c r="H64" s="74">
        <f>0.068355*G64</f>
        <v>7.1089200000000005E-2</v>
      </c>
      <c r="I64" s="74"/>
      <c r="J64" s="102"/>
      <c r="K64" s="11">
        <f t="shared" si="7"/>
        <v>7.1089200000000005E-2</v>
      </c>
      <c r="L64" s="148"/>
      <c r="M64" s="156"/>
      <c r="N64" s="65">
        <f t="shared" si="24"/>
        <v>0</v>
      </c>
      <c r="O64" s="188">
        <f t="shared" si="25"/>
        <v>0</v>
      </c>
      <c r="P64" s="67">
        <f t="shared" si="26"/>
        <v>0</v>
      </c>
      <c r="Q64" s="68">
        <f t="shared" si="21"/>
        <v>0</v>
      </c>
      <c r="R64" s="296"/>
      <c r="S64" s="306"/>
      <c r="T64" s="306"/>
    </row>
    <row r="65" spans="1:20" s="243" customFormat="1" x14ac:dyDescent="0.25">
      <c r="A65" s="253" t="s">
        <v>330</v>
      </c>
      <c r="B65" s="214" t="s">
        <v>178</v>
      </c>
      <c r="C65" s="207" t="s">
        <v>39</v>
      </c>
      <c r="D65" s="263" t="s">
        <v>223</v>
      </c>
      <c r="E65" s="101" t="s">
        <v>17</v>
      </c>
      <c r="F65" s="100" t="s">
        <v>21</v>
      </c>
      <c r="G65" s="102">
        <v>1.04</v>
      </c>
      <c r="H65" s="74">
        <f>0.070805*G65</f>
        <v>7.3637200000000014E-2</v>
      </c>
      <c r="I65" s="74"/>
      <c r="J65" s="102"/>
      <c r="K65" s="11">
        <f t="shared" si="7"/>
        <v>7.3637200000000014E-2</v>
      </c>
      <c r="L65" s="148"/>
      <c r="M65" s="156"/>
      <c r="N65" s="65">
        <f t="shared" si="24"/>
        <v>0</v>
      </c>
      <c r="O65" s="188">
        <f t="shared" si="25"/>
        <v>0</v>
      </c>
      <c r="P65" s="67">
        <f t="shared" si="26"/>
        <v>0</v>
      </c>
      <c r="Q65" s="68">
        <f t="shared" si="21"/>
        <v>0</v>
      </c>
      <c r="R65" s="296"/>
      <c r="S65" s="306"/>
      <c r="T65" s="306"/>
    </row>
    <row r="66" spans="1:20" s="243" customFormat="1" x14ac:dyDescent="0.25">
      <c r="A66" s="253" t="s">
        <v>331</v>
      </c>
      <c r="B66" s="214" t="s">
        <v>178</v>
      </c>
      <c r="C66" s="207" t="s">
        <v>40</v>
      </c>
      <c r="D66" s="263" t="s">
        <v>224</v>
      </c>
      <c r="E66" s="101" t="s">
        <v>17</v>
      </c>
      <c r="F66" s="100" t="s">
        <v>21</v>
      </c>
      <c r="G66" s="102">
        <v>1.04</v>
      </c>
      <c r="H66" s="74">
        <f>0.12495*G66</f>
        <v>0.12994800000000001</v>
      </c>
      <c r="I66" s="74"/>
      <c r="J66" s="102"/>
      <c r="K66" s="11">
        <f t="shared" si="7"/>
        <v>0.12994800000000001</v>
      </c>
      <c r="L66" s="148"/>
      <c r="M66" s="156"/>
      <c r="N66" s="65">
        <f t="shared" si="24"/>
        <v>0</v>
      </c>
      <c r="O66" s="188">
        <f t="shared" si="25"/>
        <v>0</v>
      </c>
      <c r="P66" s="67">
        <f t="shared" si="26"/>
        <v>0</v>
      </c>
      <c r="Q66" s="68">
        <f t="shared" si="21"/>
        <v>0</v>
      </c>
      <c r="R66" s="296"/>
      <c r="S66" s="306"/>
      <c r="T66" s="306"/>
    </row>
    <row r="67" spans="1:20" s="243" customFormat="1" x14ac:dyDescent="0.25">
      <c r="A67" s="253" t="s">
        <v>332</v>
      </c>
      <c r="B67" s="214" t="s">
        <v>178</v>
      </c>
      <c r="C67" s="207" t="s">
        <v>41</v>
      </c>
      <c r="D67" s="263" t="s">
        <v>225</v>
      </c>
      <c r="E67" s="101" t="s">
        <v>17</v>
      </c>
      <c r="F67" s="100" t="s">
        <v>21</v>
      </c>
      <c r="G67" s="102">
        <v>1.04</v>
      </c>
      <c r="H67" s="74">
        <f>0.15092*G67</f>
        <v>0.15695680000000001</v>
      </c>
      <c r="I67" s="74"/>
      <c r="J67" s="102"/>
      <c r="K67" s="11">
        <f t="shared" si="7"/>
        <v>0.15695680000000001</v>
      </c>
      <c r="L67" s="148"/>
      <c r="M67" s="156"/>
      <c r="N67" s="65">
        <f t="shared" si="24"/>
        <v>0</v>
      </c>
      <c r="O67" s="188">
        <f t="shared" si="25"/>
        <v>0</v>
      </c>
      <c r="P67" s="67">
        <f t="shared" si="26"/>
        <v>0</v>
      </c>
      <c r="Q67" s="68">
        <f t="shared" si="21"/>
        <v>0</v>
      </c>
      <c r="R67" s="296"/>
      <c r="S67" s="306"/>
      <c r="T67" s="306"/>
    </row>
    <row r="68" spans="1:20" s="243" customFormat="1" x14ac:dyDescent="0.25">
      <c r="A68" s="253" t="s">
        <v>333</v>
      </c>
      <c r="B68" s="214" t="s">
        <v>178</v>
      </c>
      <c r="C68" s="207" t="s">
        <v>42</v>
      </c>
      <c r="D68" s="263" t="s">
        <v>226</v>
      </c>
      <c r="E68" s="101" t="s">
        <v>17</v>
      </c>
      <c r="F68" s="100" t="s">
        <v>21</v>
      </c>
      <c r="G68" s="102">
        <v>1.04</v>
      </c>
      <c r="H68" s="74">
        <f>0.0648025*G68</f>
        <v>6.7394599999999999E-2</v>
      </c>
      <c r="I68" s="74"/>
      <c r="J68" s="102"/>
      <c r="K68" s="11">
        <f t="shared" si="7"/>
        <v>6.7394599999999999E-2</v>
      </c>
      <c r="L68" s="148"/>
      <c r="M68" s="156"/>
      <c r="N68" s="65">
        <f t="shared" si="24"/>
        <v>0</v>
      </c>
      <c r="O68" s="188">
        <f t="shared" si="25"/>
        <v>0</v>
      </c>
      <c r="P68" s="67">
        <f t="shared" si="26"/>
        <v>0</v>
      </c>
      <c r="Q68" s="68">
        <f t="shared" si="21"/>
        <v>0</v>
      </c>
      <c r="R68" s="296"/>
      <c r="S68" s="306"/>
      <c r="T68" s="306"/>
    </row>
    <row r="69" spans="1:20" s="243" customFormat="1" x14ac:dyDescent="0.25">
      <c r="A69" s="253" t="s">
        <v>334</v>
      </c>
      <c r="B69" s="214" t="s">
        <v>178</v>
      </c>
      <c r="C69" s="207" t="s">
        <v>43</v>
      </c>
      <c r="D69" s="263" t="s">
        <v>227</v>
      </c>
      <c r="E69" s="101" t="s">
        <v>17</v>
      </c>
      <c r="F69" s="100" t="s">
        <v>21</v>
      </c>
      <c r="G69" s="102">
        <v>1.04</v>
      </c>
      <c r="H69" s="74">
        <f>0.14357*G69</f>
        <v>0.1493128</v>
      </c>
      <c r="I69" s="74"/>
      <c r="J69" s="102"/>
      <c r="K69" s="11">
        <f t="shared" si="7"/>
        <v>0.1493128</v>
      </c>
      <c r="L69" s="148"/>
      <c r="M69" s="156"/>
      <c r="N69" s="65">
        <f t="shared" si="24"/>
        <v>0</v>
      </c>
      <c r="O69" s="188">
        <f t="shared" si="25"/>
        <v>0</v>
      </c>
      <c r="P69" s="67">
        <f t="shared" si="26"/>
        <v>0</v>
      </c>
      <c r="Q69" s="68">
        <f t="shared" si="21"/>
        <v>0</v>
      </c>
      <c r="R69" s="296"/>
      <c r="S69" s="306"/>
      <c r="T69" s="306"/>
    </row>
    <row r="70" spans="1:20" s="243" customFormat="1" x14ac:dyDescent="0.25">
      <c r="A70" s="253" t="s">
        <v>335</v>
      </c>
      <c r="B70" s="214" t="s">
        <v>178</v>
      </c>
      <c r="C70" s="207" t="s">
        <v>44</v>
      </c>
      <c r="D70" s="263" t="s">
        <v>228</v>
      </c>
      <c r="E70" s="101" t="s">
        <v>17</v>
      </c>
      <c r="F70" s="100" t="s">
        <v>21</v>
      </c>
      <c r="G70" s="102">
        <v>1.04</v>
      </c>
      <c r="H70" s="74">
        <f>0.0784*G70</f>
        <v>8.1535999999999997E-2</v>
      </c>
      <c r="I70" s="74"/>
      <c r="J70" s="102"/>
      <c r="K70" s="11">
        <f t="shared" si="7"/>
        <v>8.1535999999999997E-2</v>
      </c>
      <c r="L70" s="148"/>
      <c r="M70" s="156"/>
      <c r="N70" s="65">
        <f t="shared" si="24"/>
        <v>0</v>
      </c>
      <c r="O70" s="188">
        <f t="shared" si="25"/>
        <v>0</v>
      </c>
      <c r="P70" s="67">
        <f t="shared" si="26"/>
        <v>0</v>
      </c>
      <c r="Q70" s="68">
        <f t="shared" si="21"/>
        <v>0</v>
      </c>
      <c r="R70" s="296"/>
      <c r="S70" s="306"/>
      <c r="T70" s="306"/>
    </row>
    <row r="71" spans="1:20" s="243" customFormat="1" x14ac:dyDescent="0.25">
      <c r="A71" s="253" t="s">
        <v>336</v>
      </c>
      <c r="B71" s="214" t="s">
        <v>178</v>
      </c>
      <c r="C71" s="207" t="s">
        <v>207</v>
      </c>
      <c r="D71" s="263" t="s">
        <v>229</v>
      </c>
      <c r="E71" s="101" t="s">
        <v>17</v>
      </c>
      <c r="F71" s="100" t="s">
        <v>21</v>
      </c>
      <c r="G71" s="102">
        <v>1.04</v>
      </c>
      <c r="H71" s="246">
        <f>0.098*G71</f>
        <v>0.10192000000000001</v>
      </c>
      <c r="I71" s="246"/>
      <c r="J71" s="489"/>
      <c r="K71" s="11">
        <f t="shared" si="7"/>
        <v>0.10192000000000001</v>
      </c>
      <c r="L71" s="148"/>
      <c r="M71" s="156"/>
      <c r="N71" s="65">
        <f t="shared" si="24"/>
        <v>0</v>
      </c>
      <c r="O71" s="188">
        <f t="shared" si="25"/>
        <v>0</v>
      </c>
      <c r="P71" s="67">
        <f t="shared" si="26"/>
        <v>0</v>
      </c>
      <c r="Q71" s="68">
        <f t="shared" si="21"/>
        <v>0</v>
      </c>
      <c r="R71" s="305"/>
      <c r="S71" s="306"/>
      <c r="T71" s="306"/>
    </row>
    <row r="72" spans="1:20" s="243" customFormat="1" x14ac:dyDescent="0.25">
      <c r="A72" s="253" t="s">
        <v>337</v>
      </c>
      <c r="B72" s="214" t="s">
        <v>178</v>
      </c>
      <c r="C72" s="207" t="s">
        <v>208</v>
      </c>
      <c r="D72" s="263" t="s">
        <v>230</v>
      </c>
      <c r="E72" s="101" t="s">
        <v>17</v>
      </c>
      <c r="F72" s="100" t="s">
        <v>21</v>
      </c>
      <c r="G72" s="102">
        <v>1.04</v>
      </c>
      <c r="H72" s="246">
        <f>0.103635*G72</f>
        <v>0.10778040000000001</v>
      </c>
      <c r="I72" s="246"/>
      <c r="J72" s="489"/>
      <c r="K72" s="11">
        <f t="shared" si="7"/>
        <v>0.10778040000000001</v>
      </c>
      <c r="L72" s="148"/>
      <c r="M72" s="156"/>
      <c r="N72" s="65">
        <f t="shared" si="24"/>
        <v>0</v>
      </c>
      <c r="O72" s="188">
        <f t="shared" si="25"/>
        <v>0</v>
      </c>
      <c r="P72" s="67">
        <f t="shared" si="26"/>
        <v>0</v>
      </c>
      <c r="Q72" s="68">
        <f t="shared" si="21"/>
        <v>0</v>
      </c>
      <c r="R72" s="305"/>
      <c r="S72" s="306"/>
      <c r="T72" s="306"/>
    </row>
    <row r="73" spans="1:20" s="243" customFormat="1" x14ac:dyDescent="0.25">
      <c r="A73" s="253" t="s">
        <v>338</v>
      </c>
      <c r="B73" s="214" t="s">
        <v>178</v>
      </c>
      <c r="C73" s="207" t="s">
        <v>209</v>
      </c>
      <c r="D73" s="263" t="s">
        <v>231</v>
      </c>
      <c r="E73" s="101" t="s">
        <v>17</v>
      </c>
      <c r="F73" s="100" t="s">
        <v>21</v>
      </c>
      <c r="G73" s="102">
        <v>1.04</v>
      </c>
      <c r="H73" s="246">
        <f>0.068355*G73</f>
        <v>7.1089200000000005E-2</v>
      </c>
      <c r="I73" s="246"/>
      <c r="J73" s="489"/>
      <c r="K73" s="11">
        <f t="shared" si="7"/>
        <v>7.1089200000000005E-2</v>
      </c>
      <c r="L73" s="148"/>
      <c r="M73" s="156"/>
      <c r="N73" s="65">
        <f t="shared" si="24"/>
        <v>0</v>
      </c>
      <c r="O73" s="188">
        <f t="shared" si="25"/>
        <v>0</v>
      </c>
      <c r="P73" s="67">
        <f t="shared" si="26"/>
        <v>0</v>
      </c>
      <c r="Q73" s="68">
        <f t="shared" si="21"/>
        <v>0</v>
      </c>
      <c r="R73" s="305"/>
      <c r="S73" s="306"/>
      <c r="T73" s="306"/>
    </row>
    <row r="74" spans="1:20" s="243" customFormat="1" x14ac:dyDescent="0.25">
      <c r="A74" s="253" t="s">
        <v>339</v>
      </c>
      <c r="B74" s="214" t="s">
        <v>178</v>
      </c>
      <c r="C74" s="207" t="s">
        <v>210</v>
      </c>
      <c r="D74" s="263" t="s">
        <v>232</v>
      </c>
      <c r="E74" s="101" t="s">
        <v>17</v>
      </c>
      <c r="F74" s="100" t="s">
        <v>21</v>
      </c>
      <c r="G74" s="102">
        <v>1.04</v>
      </c>
      <c r="H74" s="246">
        <f>0.0735*G74</f>
        <v>7.6439999999999994E-2</v>
      </c>
      <c r="I74" s="246"/>
      <c r="J74" s="489"/>
      <c r="K74" s="11">
        <f t="shared" si="7"/>
        <v>7.6439999999999994E-2</v>
      </c>
      <c r="L74" s="148"/>
      <c r="M74" s="156"/>
      <c r="N74" s="65">
        <f t="shared" si="24"/>
        <v>0</v>
      </c>
      <c r="O74" s="188">
        <f t="shared" si="25"/>
        <v>0</v>
      </c>
      <c r="P74" s="67">
        <f t="shared" si="26"/>
        <v>0</v>
      </c>
      <c r="Q74" s="68">
        <f t="shared" si="21"/>
        <v>0</v>
      </c>
      <c r="R74" s="305"/>
      <c r="S74" s="306"/>
      <c r="T74" s="306"/>
    </row>
    <row r="75" spans="1:20" s="243" customFormat="1" x14ac:dyDescent="0.25">
      <c r="A75" s="253" t="s">
        <v>340</v>
      </c>
      <c r="B75" s="214" t="s">
        <v>178</v>
      </c>
      <c r="C75" s="207" t="s">
        <v>211</v>
      </c>
      <c r="D75" s="263" t="s">
        <v>233</v>
      </c>
      <c r="E75" s="101" t="s">
        <v>17</v>
      </c>
      <c r="F75" s="100" t="s">
        <v>21</v>
      </c>
      <c r="G75" s="102">
        <v>1.04</v>
      </c>
      <c r="H75" s="246">
        <f>0.0750925*G75</f>
        <v>7.8096200000000005E-2</v>
      </c>
      <c r="I75" s="246"/>
      <c r="J75" s="489"/>
      <c r="K75" s="11">
        <f t="shared" si="7"/>
        <v>7.8096200000000005E-2</v>
      </c>
      <c r="L75" s="148"/>
      <c r="M75" s="156"/>
      <c r="N75" s="65">
        <f t="shared" si="24"/>
        <v>0</v>
      </c>
      <c r="O75" s="188">
        <f t="shared" si="25"/>
        <v>0</v>
      </c>
      <c r="P75" s="67">
        <f t="shared" si="26"/>
        <v>0</v>
      </c>
      <c r="Q75" s="68">
        <f t="shared" si="21"/>
        <v>0</v>
      </c>
      <c r="R75" s="305"/>
      <c r="S75" s="306"/>
      <c r="T75" s="306"/>
    </row>
    <row r="76" spans="1:20" s="243" customFormat="1" x14ac:dyDescent="0.25">
      <c r="A76" s="253" t="s">
        <v>341</v>
      </c>
      <c r="B76" s="214" t="s">
        <v>178</v>
      </c>
      <c r="C76" s="207" t="s">
        <v>212</v>
      </c>
      <c r="D76" s="263" t="s">
        <v>234</v>
      </c>
      <c r="E76" s="101" t="s">
        <v>17</v>
      </c>
      <c r="F76" s="100" t="s">
        <v>21</v>
      </c>
      <c r="G76" s="102">
        <v>1.04</v>
      </c>
      <c r="H76" s="246">
        <f>0.087465*G76</f>
        <v>9.0963600000000006E-2</v>
      </c>
      <c r="I76" s="246"/>
      <c r="J76" s="489"/>
      <c r="K76" s="11">
        <f t="shared" si="7"/>
        <v>9.0963600000000006E-2</v>
      </c>
      <c r="L76" s="148"/>
      <c r="M76" s="156"/>
      <c r="N76" s="65">
        <f t="shared" si="24"/>
        <v>0</v>
      </c>
      <c r="O76" s="188">
        <f t="shared" si="25"/>
        <v>0</v>
      </c>
      <c r="P76" s="67">
        <f t="shared" si="26"/>
        <v>0</v>
      </c>
      <c r="Q76" s="68">
        <f t="shared" si="21"/>
        <v>0</v>
      </c>
      <c r="R76" s="305"/>
      <c r="S76" s="306"/>
      <c r="T76" s="306"/>
    </row>
    <row r="77" spans="1:20" s="243" customFormat="1" x14ac:dyDescent="0.25">
      <c r="A77" s="253" t="s">
        <v>342</v>
      </c>
      <c r="B77" s="214" t="s">
        <v>178</v>
      </c>
      <c r="C77" s="207" t="s">
        <v>213</v>
      </c>
      <c r="D77" s="263" t="s">
        <v>223</v>
      </c>
      <c r="E77" s="101" t="s">
        <v>17</v>
      </c>
      <c r="F77" s="100" t="s">
        <v>21</v>
      </c>
      <c r="G77" s="102">
        <v>1.04</v>
      </c>
      <c r="H77" s="246">
        <f>0.070805*G77</f>
        <v>7.3637200000000014E-2</v>
      </c>
      <c r="I77" s="246"/>
      <c r="J77" s="489"/>
      <c r="K77" s="11">
        <f t="shared" si="7"/>
        <v>7.3637200000000014E-2</v>
      </c>
      <c r="L77" s="148"/>
      <c r="M77" s="156"/>
      <c r="N77" s="65">
        <f t="shared" si="24"/>
        <v>0</v>
      </c>
      <c r="O77" s="188">
        <f t="shared" si="25"/>
        <v>0</v>
      </c>
      <c r="P77" s="67">
        <f t="shared" si="26"/>
        <v>0</v>
      </c>
      <c r="Q77" s="68">
        <f t="shared" si="21"/>
        <v>0</v>
      </c>
      <c r="R77" s="305"/>
      <c r="S77" s="306"/>
      <c r="T77" s="306"/>
    </row>
    <row r="78" spans="1:20" s="243" customFormat="1" x14ac:dyDescent="0.25">
      <c r="A78" s="253" t="s">
        <v>343</v>
      </c>
      <c r="B78" s="214" t="s">
        <v>178</v>
      </c>
      <c r="C78" s="207" t="s">
        <v>214</v>
      </c>
      <c r="D78" s="263" t="s">
        <v>235</v>
      </c>
      <c r="E78" s="101" t="s">
        <v>17</v>
      </c>
      <c r="F78" s="100" t="s">
        <v>21</v>
      </c>
      <c r="G78" s="102">
        <v>1.04</v>
      </c>
      <c r="H78" s="246">
        <f>0.042875*G78</f>
        <v>4.4590000000000005E-2</v>
      </c>
      <c r="I78" s="246"/>
      <c r="J78" s="489"/>
      <c r="K78" s="11">
        <f t="shared" si="7"/>
        <v>4.4590000000000005E-2</v>
      </c>
      <c r="L78" s="148"/>
      <c r="M78" s="156"/>
      <c r="N78" s="65">
        <f t="shared" si="24"/>
        <v>0</v>
      </c>
      <c r="O78" s="188">
        <f t="shared" si="25"/>
        <v>0</v>
      </c>
      <c r="P78" s="67">
        <f t="shared" si="26"/>
        <v>0</v>
      </c>
      <c r="Q78" s="68">
        <f t="shared" si="21"/>
        <v>0</v>
      </c>
      <c r="R78" s="305"/>
      <c r="S78" s="306"/>
      <c r="T78" s="306"/>
    </row>
    <row r="79" spans="1:20" s="243" customFormat="1" x14ac:dyDescent="0.25">
      <c r="A79" s="253" t="s">
        <v>344</v>
      </c>
      <c r="B79" s="214" t="s">
        <v>178</v>
      </c>
      <c r="C79" s="207" t="s">
        <v>215</v>
      </c>
      <c r="D79" s="263" t="s">
        <v>236</v>
      </c>
      <c r="E79" s="101" t="s">
        <v>17</v>
      </c>
      <c r="F79" s="100" t="s">
        <v>21</v>
      </c>
      <c r="G79" s="102">
        <v>1.04</v>
      </c>
      <c r="H79" s="246">
        <f>0.0581875*G79</f>
        <v>6.0515000000000006E-2</v>
      </c>
      <c r="I79" s="246"/>
      <c r="J79" s="489"/>
      <c r="K79" s="11">
        <f t="shared" si="7"/>
        <v>6.0515000000000006E-2</v>
      </c>
      <c r="L79" s="148"/>
      <c r="M79" s="156"/>
      <c r="N79" s="65">
        <f t="shared" si="24"/>
        <v>0</v>
      </c>
      <c r="O79" s="188">
        <f t="shared" si="25"/>
        <v>0</v>
      </c>
      <c r="P79" s="67">
        <f t="shared" si="26"/>
        <v>0</v>
      </c>
      <c r="Q79" s="68">
        <f t="shared" si="21"/>
        <v>0</v>
      </c>
      <c r="R79" s="305"/>
      <c r="S79" s="306"/>
      <c r="T79" s="306"/>
    </row>
    <row r="80" spans="1:20" s="243" customFormat="1" x14ac:dyDescent="0.25">
      <c r="A80" s="253" t="s">
        <v>345</v>
      </c>
      <c r="B80" s="214" t="s">
        <v>178</v>
      </c>
      <c r="C80" s="207" t="s">
        <v>216</v>
      </c>
      <c r="D80" s="263" t="s">
        <v>237</v>
      </c>
      <c r="E80" s="101" t="s">
        <v>17</v>
      </c>
      <c r="F80" s="100" t="s">
        <v>21</v>
      </c>
      <c r="G80" s="102">
        <v>1.04</v>
      </c>
      <c r="H80" s="246">
        <f>0.072765*G80</f>
        <v>7.5675599999999996E-2</v>
      </c>
      <c r="I80" s="246"/>
      <c r="J80" s="489"/>
      <c r="K80" s="11">
        <f t="shared" si="7"/>
        <v>7.5675599999999996E-2</v>
      </c>
      <c r="L80" s="148"/>
      <c r="M80" s="156"/>
      <c r="N80" s="65">
        <f t="shared" si="24"/>
        <v>0</v>
      </c>
      <c r="O80" s="188">
        <f t="shared" si="25"/>
        <v>0</v>
      </c>
      <c r="P80" s="67">
        <f t="shared" si="26"/>
        <v>0</v>
      </c>
      <c r="Q80" s="68">
        <f t="shared" si="21"/>
        <v>0</v>
      </c>
      <c r="R80" s="305"/>
      <c r="S80" s="306"/>
      <c r="T80" s="306"/>
    </row>
    <row r="81" spans="1:29" s="243" customFormat="1" x14ac:dyDescent="0.25">
      <c r="A81" s="253" t="s">
        <v>346</v>
      </c>
      <c r="B81" s="214" t="s">
        <v>178</v>
      </c>
      <c r="C81" s="207" t="s">
        <v>217</v>
      </c>
      <c r="D81" s="263" t="s">
        <v>238</v>
      </c>
      <c r="E81" s="101" t="s">
        <v>17</v>
      </c>
      <c r="F81" s="100" t="s">
        <v>21</v>
      </c>
      <c r="G81" s="102">
        <v>1.04</v>
      </c>
      <c r="H81" s="246">
        <f>0.106575*G81</f>
        <v>0.11083800000000001</v>
      </c>
      <c r="I81" s="246"/>
      <c r="J81" s="489"/>
      <c r="K81" s="11">
        <f t="shared" si="7"/>
        <v>0.11083800000000001</v>
      </c>
      <c r="L81" s="148"/>
      <c r="M81" s="156"/>
      <c r="N81" s="65">
        <f t="shared" si="24"/>
        <v>0</v>
      </c>
      <c r="O81" s="188">
        <f t="shared" si="25"/>
        <v>0</v>
      </c>
      <c r="P81" s="67">
        <f t="shared" si="26"/>
        <v>0</v>
      </c>
      <c r="Q81" s="68">
        <f t="shared" si="21"/>
        <v>0</v>
      </c>
      <c r="R81" s="305"/>
      <c r="S81" s="306"/>
      <c r="T81" s="306"/>
    </row>
    <row r="82" spans="1:29" s="243" customFormat="1" x14ac:dyDescent="0.25">
      <c r="A82" s="253" t="s">
        <v>347</v>
      </c>
      <c r="B82" s="214" t="s">
        <v>178</v>
      </c>
      <c r="C82" s="307" t="s">
        <v>240</v>
      </c>
      <c r="D82" s="263" t="s">
        <v>242</v>
      </c>
      <c r="E82" s="101" t="s">
        <v>17</v>
      </c>
      <c r="F82" s="100" t="s">
        <v>21</v>
      </c>
      <c r="G82" s="102">
        <v>1.04</v>
      </c>
      <c r="H82" s="246">
        <f>0.03185*G82</f>
        <v>3.3124000000000008E-2</v>
      </c>
      <c r="I82" s="246"/>
      <c r="J82" s="489"/>
      <c r="K82" s="11">
        <f t="shared" si="7"/>
        <v>3.3124000000000008E-2</v>
      </c>
      <c r="L82" s="248"/>
      <c r="M82" s="249"/>
      <c r="N82" s="65">
        <f t="shared" si="24"/>
        <v>0</v>
      </c>
      <c r="O82" s="188">
        <f t="shared" si="25"/>
        <v>0</v>
      </c>
      <c r="P82" s="67">
        <f t="shared" si="26"/>
        <v>0</v>
      </c>
      <c r="Q82" s="68">
        <f t="shared" si="21"/>
        <v>0</v>
      </c>
      <c r="R82" s="305"/>
      <c r="S82" s="306"/>
      <c r="T82" s="306"/>
    </row>
    <row r="83" spans="1:29" s="243" customFormat="1" x14ac:dyDescent="0.25">
      <c r="A83" s="253" t="s">
        <v>348</v>
      </c>
      <c r="B83" s="214" t="s">
        <v>178</v>
      </c>
      <c r="C83" s="307" t="s">
        <v>241</v>
      </c>
      <c r="D83" s="263" t="s">
        <v>243</v>
      </c>
      <c r="E83" s="101" t="s">
        <v>17</v>
      </c>
      <c r="F83" s="100" t="s">
        <v>21</v>
      </c>
      <c r="G83" s="102">
        <v>1.04</v>
      </c>
      <c r="H83" s="261">
        <f>0.001378*G83</f>
        <v>1.4331200000000002E-3</v>
      </c>
      <c r="I83" s="74"/>
      <c r="J83" s="102"/>
      <c r="K83" s="262">
        <f>H83+I83+J83</f>
        <v>1.4331200000000002E-3</v>
      </c>
      <c r="L83" s="148"/>
      <c r="M83" s="156"/>
      <c r="N83" s="65">
        <f t="shared" si="24"/>
        <v>0</v>
      </c>
      <c r="O83" s="188">
        <f t="shared" si="25"/>
        <v>0</v>
      </c>
      <c r="P83" s="67">
        <f t="shared" si="26"/>
        <v>0</v>
      </c>
      <c r="Q83" s="68">
        <f t="shared" si="21"/>
        <v>0</v>
      </c>
      <c r="R83" s="296"/>
      <c r="S83" s="306"/>
      <c r="T83" s="306"/>
    </row>
    <row r="84" spans="1:29" s="103" customFormat="1" x14ac:dyDescent="0.25">
      <c r="A84" s="253" t="s">
        <v>349</v>
      </c>
      <c r="B84" s="214" t="s">
        <v>178</v>
      </c>
      <c r="C84" s="207"/>
      <c r="D84" s="95" t="s">
        <v>65</v>
      </c>
      <c r="E84" s="101" t="s">
        <v>17</v>
      </c>
      <c r="F84" s="100" t="s">
        <v>21</v>
      </c>
      <c r="G84" s="102">
        <v>1.04</v>
      </c>
      <c r="H84" s="74">
        <f>0.0678*G84</f>
        <v>7.0512000000000005E-2</v>
      </c>
      <c r="I84" s="74"/>
      <c r="J84" s="102"/>
      <c r="K84" s="11">
        <f t="shared" si="7"/>
        <v>7.0512000000000005E-2</v>
      </c>
      <c r="L84" s="148"/>
      <c r="M84" s="156"/>
      <c r="N84" s="65">
        <f t="shared" si="24"/>
        <v>0</v>
      </c>
      <c r="O84" s="188">
        <f t="shared" si="25"/>
        <v>0</v>
      </c>
      <c r="P84" s="67">
        <f t="shared" si="26"/>
        <v>0</v>
      </c>
      <c r="Q84" s="68">
        <f t="shared" si="21"/>
        <v>0</v>
      </c>
      <c r="R84" s="296"/>
      <c r="S84" s="291"/>
      <c r="T84" s="291"/>
    </row>
    <row r="85" spans="1:29" s="103" customFormat="1" x14ac:dyDescent="0.25">
      <c r="A85" s="253" t="s">
        <v>350</v>
      </c>
      <c r="B85" s="214" t="s">
        <v>178</v>
      </c>
      <c r="C85" s="207"/>
      <c r="D85" s="95" t="s">
        <v>201</v>
      </c>
      <c r="E85" s="101" t="s">
        <v>17</v>
      </c>
      <c r="F85" s="100" t="s">
        <v>18</v>
      </c>
      <c r="G85" s="102">
        <v>1</v>
      </c>
      <c r="H85" s="308">
        <f>(1.6*0.025*0.12+1.4*0.12*1*0.025+1.4*0.065*24*0.025)</f>
        <v>6.3600000000000018E-2</v>
      </c>
      <c r="I85" s="485"/>
      <c r="J85" s="102"/>
      <c r="K85" s="11">
        <f t="shared" si="7"/>
        <v>6.3600000000000018E-2</v>
      </c>
      <c r="L85" s="148"/>
      <c r="M85" s="156"/>
      <c r="N85" s="65">
        <f t="shared" si="24"/>
        <v>0</v>
      </c>
      <c r="O85" s="188">
        <f t="shared" si="25"/>
        <v>0</v>
      </c>
      <c r="P85" s="67">
        <f t="shared" si="26"/>
        <v>0</v>
      </c>
      <c r="Q85" s="68">
        <f t="shared" si="21"/>
        <v>0</v>
      </c>
      <c r="R85" s="296"/>
      <c r="S85" s="291"/>
      <c r="T85" s="291"/>
    </row>
    <row r="86" spans="1:29" s="103" customFormat="1" x14ac:dyDescent="0.25">
      <c r="A86" s="253" t="s">
        <v>351</v>
      </c>
      <c r="B86" s="214" t="s">
        <v>178</v>
      </c>
      <c r="C86" s="486"/>
      <c r="D86" s="487" t="s">
        <v>409</v>
      </c>
      <c r="E86" s="101" t="s">
        <v>17</v>
      </c>
      <c r="F86" s="100" t="s">
        <v>328</v>
      </c>
      <c r="G86" s="102">
        <v>1</v>
      </c>
      <c r="H86" s="308">
        <v>28</v>
      </c>
      <c r="I86" s="488"/>
      <c r="J86" s="489"/>
      <c r="K86" s="17">
        <f>H86+I86+J86</f>
        <v>28</v>
      </c>
      <c r="L86" s="248"/>
      <c r="M86" s="249"/>
      <c r="N86" s="65">
        <f t="shared" si="24"/>
        <v>0</v>
      </c>
      <c r="O86" s="188">
        <f t="shared" si="25"/>
        <v>0</v>
      </c>
      <c r="P86" s="67">
        <f t="shared" si="26"/>
        <v>0</v>
      </c>
      <c r="Q86" s="68">
        <f t="shared" si="21"/>
        <v>0</v>
      </c>
      <c r="R86" s="305"/>
      <c r="S86" s="291"/>
      <c r="T86" s="291"/>
    </row>
    <row r="87" spans="1:29" s="103" customFormat="1" x14ac:dyDescent="0.25">
      <c r="A87" s="253" t="s">
        <v>352</v>
      </c>
      <c r="B87" s="214" t="s">
        <v>178</v>
      </c>
      <c r="C87" s="207" t="s">
        <v>52</v>
      </c>
      <c r="D87" s="95" t="s">
        <v>56</v>
      </c>
      <c r="E87" s="101" t="s">
        <v>17</v>
      </c>
      <c r="F87" s="100" t="s">
        <v>21</v>
      </c>
      <c r="G87" s="102">
        <v>1.04</v>
      </c>
      <c r="H87" s="74"/>
      <c r="I87" s="74"/>
      <c r="J87" s="490">
        <f>(1.4*6*6.89/1000)*G87</f>
        <v>6.0191039999999994E-2</v>
      </c>
      <c r="K87" s="17">
        <f t="shared" si="7"/>
        <v>6.0191039999999994E-2</v>
      </c>
      <c r="L87" s="159"/>
      <c r="M87" s="189"/>
      <c r="N87" s="65">
        <f t="shared" si="24"/>
        <v>0</v>
      </c>
      <c r="O87" s="188">
        <f t="shared" si="25"/>
        <v>0</v>
      </c>
      <c r="P87" s="67">
        <f t="shared" si="26"/>
        <v>0</v>
      </c>
      <c r="Q87" s="68">
        <f t="shared" si="21"/>
        <v>0</v>
      </c>
      <c r="R87" s="296"/>
      <c r="S87" s="291"/>
      <c r="T87" s="291"/>
    </row>
    <row r="88" spans="1:29" s="103" customFormat="1" x14ac:dyDescent="0.25">
      <c r="A88" s="253" t="s">
        <v>353</v>
      </c>
      <c r="B88" s="214" t="s">
        <v>178</v>
      </c>
      <c r="C88" s="207" t="s">
        <v>53</v>
      </c>
      <c r="D88" s="103" t="s">
        <v>57</v>
      </c>
      <c r="E88" s="101" t="s">
        <v>17</v>
      </c>
      <c r="F88" s="100" t="s">
        <v>21</v>
      </c>
      <c r="G88" s="102">
        <v>1.04</v>
      </c>
      <c r="H88" s="74"/>
      <c r="I88" s="74"/>
      <c r="J88" s="490">
        <f>2.72*10.79/1000*G88</f>
        <v>3.0522752000000004E-2</v>
      </c>
      <c r="K88" s="11">
        <f t="shared" si="7"/>
        <v>3.0522752000000004E-2</v>
      </c>
      <c r="L88" s="148"/>
      <c r="M88" s="156"/>
      <c r="N88" s="65">
        <f t="shared" si="24"/>
        <v>0</v>
      </c>
      <c r="O88" s="188">
        <f t="shared" si="25"/>
        <v>0</v>
      </c>
      <c r="P88" s="67">
        <f t="shared" si="26"/>
        <v>0</v>
      </c>
      <c r="Q88" s="68">
        <f t="shared" si="21"/>
        <v>0</v>
      </c>
      <c r="R88" s="296"/>
      <c r="S88" s="291"/>
      <c r="T88" s="291"/>
    </row>
    <row r="89" spans="1:29" s="103" customFormat="1" x14ac:dyDescent="0.25">
      <c r="A89" s="253" t="s">
        <v>354</v>
      </c>
      <c r="B89" s="214" t="s">
        <v>178</v>
      </c>
      <c r="C89" s="207"/>
      <c r="D89" s="95" t="s">
        <v>201</v>
      </c>
      <c r="E89" s="101" t="s">
        <v>17</v>
      </c>
      <c r="F89" s="100" t="s">
        <v>18</v>
      </c>
      <c r="G89" s="102">
        <v>1</v>
      </c>
      <c r="H89" s="74"/>
      <c r="I89" s="74"/>
      <c r="J89" s="490">
        <f>(1.4*6+1.2*2+1.3*7+0.6*5+1.8*1)*0.025*0.12*G89</f>
        <v>7.4099999999999999E-2</v>
      </c>
      <c r="K89" s="11">
        <f>H89+I89+J89</f>
        <v>7.4099999999999999E-2</v>
      </c>
      <c r="L89" s="159"/>
      <c r="M89" s="189"/>
      <c r="N89" s="65">
        <f t="shared" si="24"/>
        <v>0</v>
      </c>
      <c r="O89" s="188">
        <f t="shared" si="25"/>
        <v>0</v>
      </c>
      <c r="P89" s="67">
        <f t="shared" si="26"/>
        <v>0</v>
      </c>
      <c r="Q89" s="68">
        <f t="shared" si="21"/>
        <v>0</v>
      </c>
      <c r="R89" s="296"/>
      <c r="S89" s="291"/>
      <c r="T89" s="291"/>
    </row>
    <row r="90" spans="1:29" s="103" customFormat="1" x14ac:dyDescent="0.25">
      <c r="A90" s="253" t="s">
        <v>355</v>
      </c>
      <c r="B90" s="214" t="s">
        <v>178</v>
      </c>
      <c r="C90" s="207"/>
      <c r="D90" s="95" t="s">
        <v>65</v>
      </c>
      <c r="E90" s="101" t="s">
        <v>17</v>
      </c>
      <c r="F90" s="100" t="s">
        <v>21</v>
      </c>
      <c r="G90" s="102">
        <v>1.04</v>
      </c>
      <c r="H90" s="74"/>
      <c r="I90" s="74"/>
      <c r="J90" s="490">
        <f>(1.3*21+1.4*18+1.2*6+0.6*15+1.8*3)*0.888/1000*G90</f>
        <v>6.8432832000000013E-2</v>
      </c>
      <c r="K90" s="11">
        <f t="shared" ref="K90" si="27">(H90+I90+J90)*G90</f>
        <v>7.1170145280000013E-2</v>
      </c>
      <c r="L90" s="159"/>
      <c r="M90" s="189"/>
      <c r="N90" s="65">
        <f t="shared" si="24"/>
        <v>0</v>
      </c>
      <c r="O90" s="188">
        <f t="shared" si="25"/>
        <v>0</v>
      </c>
      <c r="P90" s="67">
        <f t="shared" si="26"/>
        <v>0</v>
      </c>
      <c r="Q90" s="68">
        <f t="shared" si="21"/>
        <v>0</v>
      </c>
      <c r="R90" s="296"/>
      <c r="S90" s="291"/>
      <c r="T90" s="291"/>
    </row>
    <row r="91" spans="1:29" s="103" customFormat="1" x14ac:dyDescent="0.25">
      <c r="A91" s="253" t="s">
        <v>356</v>
      </c>
      <c r="B91" s="214" t="s">
        <v>178</v>
      </c>
      <c r="C91" s="207"/>
      <c r="D91" s="95" t="s">
        <v>61</v>
      </c>
      <c r="E91" s="101" t="s">
        <v>17</v>
      </c>
      <c r="F91" s="100" t="s">
        <v>21</v>
      </c>
      <c r="G91" s="102">
        <v>1.04</v>
      </c>
      <c r="H91" s="74"/>
      <c r="I91" s="74"/>
      <c r="J91" s="490">
        <f>0.05*0.2*9*47.1/1000*G91</f>
        <v>4.4085600000000015E-3</v>
      </c>
      <c r="K91" s="17">
        <f>(H91+I91+J91)*G91</f>
        <v>4.5849024000000019E-3</v>
      </c>
      <c r="L91" s="148"/>
      <c r="M91" s="156"/>
      <c r="N91" s="65">
        <f t="shared" si="24"/>
        <v>0</v>
      </c>
      <c r="O91" s="188">
        <f t="shared" si="25"/>
        <v>0</v>
      </c>
      <c r="P91" s="67">
        <f t="shared" si="26"/>
        <v>0</v>
      </c>
      <c r="Q91" s="68">
        <f t="shared" si="21"/>
        <v>0</v>
      </c>
      <c r="R91" s="296"/>
      <c r="S91" s="291"/>
      <c r="T91" s="291"/>
    </row>
    <row r="92" spans="1:29" s="287" customFormat="1" ht="26.25" customHeight="1" x14ac:dyDescent="0.25">
      <c r="A92" s="31"/>
      <c r="B92" s="212"/>
      <c r="C92" s="203"/>
      <c r="D92" s="33" t="s">
        <v>60</v>
      </c>
      <c r="E92" s="104"/>
      <c r="F92" s="104"/>
      <c r="G92" s="321"/>
      <c r="H92" s="34"/>
      <c r="I92" s="34"/>
      <c r="J92" s="35"/>
      <c r="K92" s="34"/>
      <c r="L92" s="138"/>
      <c r="M92" s="139"/>
      <c r="N92" s="90"/>
      <c r="O92" s="89"/>
      <c r="P92" s="91"/>
      <c r="Q92" s="92"/>
      <c r="R92" s="162"/>
      <c r="S92" s="163"/>
      <c r="T92" s="163"/>
      <c r="U92" s="38"/>
      <c r="V92" s="38"/>
      <c r="W92" s="38"/>
      <c r="X92" s="38"/>
      <c r="Y92" s="39"/>
      <c r="Z92" s="39"/>
      <c r="AA92" s="39"/>
      <c r="AB92" s="39"/>
      <c r="AC92" s="39"/>
    </row>
    <row r="93" spans="1:29" s="290" customFormat="1" ht="27.75" customHeight="1" x14ac:dyDescent="0.25">
      <c r="A93" s="49" t="s">
        <v>357</v>
      </c>
      <c r="B93" s="210"/>
      <c r="C93" s="199" t="s">
        <v>165</v>
      </c>
      <c r="D93" s="50" t="s">
        <v>48</v>
      </c>
      <c r="E93" s="51"/>
      <c r="F93" s="52"/>
      <c r="G93" s="53"/>
      <c r="H93" s="54"/>
      <c r="I93" s="54"/>
      <c r="J93" s="53"/>
      <c r="K93" s="14"/>
      <c r="L93" s="142"/>
      <c r="M93" s="143"/>
      <c r="N93" s="81"/>
      <c r="O93" s="78"/>
      <c r="P93" s="82"/>
      <c r="Q93" s="58"/>
      <c r="R93" s="297"/>
      <c r="S93" s="289"/>
      <c r="T93" s="289"/>
    </row>
    <row r="94" spans="1:29" s="103" customFormat="1" ht="43.5" customHeight="1" x14ac:dyDescent="0.25">
      <c r="A94" s="59" t="s">
        <v>101</v>
      </c>
      <c r="B94" s="211" t="s">
        <v>177</v>
      </c>
      <c r="C94" s="200" t="s">
        <v>165</v>
      </c>
      <c r="D94" s="60" t="s">
        <v>185</v>
      </c>
      <c r="E94" s="61" t="s">
        <v>17</v>
      </c>
      <c r="F94" s="62" t="s">
        <v>18</v>
      </c>
      <c r="G94" s="105">
        <v>1</v>
      </c>
      <c r="H94" s="64">
        <v>1063.1600000000001</v>
      </c>
      <c r="I94" s="64"/>
      <c r="J94" s="63"/>
      <c r="K94" s="11">
        <f>H94+I94+J94</f>
        <v>1063.1600000000001</v>
      </c>
      <c r="L94" s="144"/>
      <c r="M94" s="145"/>
      <c r="N94" s="65">
        <f t="shared" ref="N94:N157" si="28">L94+M94</f>
        <v>0</v>
      </c>
      <c r="O94" s="66">
        <f t="shared" ref="O94:O157" si="29">L94*K94</f>
        <v>0</v>
      </c>
      <c r="P94" s="67">
        <f t="shared" ref="P94:P157" si="30">M94*K94</f>
        <v>0</v>
      </c>
      <c r="Q94" s="68">
        <f t="shared" ref="Q94:Q157" si="31">O94+P94</f>
        <v>0</v>
      </c>
      <c r="R94" s="166" t="s">
        <v>122</v>
      </c>
      <c r="S94" s="291"/>
      <c r="T94" s="291"/>
    </row>
    <row r="95" spans="1:29" s="294" customFormat="1" ht="30" customHeight="1" x14ac:dyDescent="0.25">
      <c r="A95" s="59" t="s">
        <v>102</v>
      </c>
      <c r="B95" s="211" t="s">
        <v>178</v>
      </c>
      <c r="C95" s="201"/>
      <c r="D95" s="183" t="s">
        <v>121</v>
      </c>
      <c r="E95" s="74" t="s">
        <v>17</v>
      </c>
      <c r="F95" s="70" t="s">
        <v>18</v>
      </c>
      <c r="G95" s="71">
        <v>1.05</v>
      </c>
      <c r="H95" s="70">
        <f>ROUND(H94*G95,2)</f>
        <v>1116.32</v>
      </c>
      <c r="I95" s="70"/>
      <c r="J95" s="71"/>
      <c r="K95" s="11">
        <f t="shared" ref="K95" si="32">H95+I95+J95</f>
        <v>1116.32</v>
      </c>
      <c r="L95" s="146"/>
      <c r="M95" s="147"/>
      <c r="N95" s="65">
        <f t="shared" si="28"/>
        <v>0</v>
      </c>
      <c r="O95" s="66">
        <f t="shared" si="29"/>
        <v>0</v>
      </c>
      <c r="P95" s="67">
        <f t="shared" si="30"/>
        <v>0</v>
      </c>
      <c r="Q95" s="68">
        <f t="shared" si="31"/>
        <v>0</v>
      </c>
      <c r="R95" s="299"/>
      <c r="S95" s="293"/>
      <c r="T95" s="293"/>
    </row>
    <row r="96" spans="1:29" ht="28.5" customHeight="1" x14ac:dyDescent="0.25">
      <c r="A96" s="59" t="s">
        <v>103</v>
      </c>
      <c r="B96" s="211" t="s">
        <v>178</v>
      </c>
      <c r="C96" s="202"/>
      <c r="D96" s="95" t="s">
        <v>201</v>
      </c>
      <c r="E96" s="74" t="s">
        <v>17</v>
      </c>
      <c r="F96" s="100" t="s">
        <v>18</v>
      </c>
      <c r="G96" s="102">
        <v>0.22</v>
      </c>
      <c r="H96" s="74">
        <f>181.1*G96</f>
        <v>39.841999999999999</v>
      </c>
      <c r="I96" s="74"/>
      <c r="J96" s="102"/>
      <c r="K96" s="11">
        <f>H96+I96+J96</f>
        <v>39.841999999999999</v>
      </c>
      <c r="L96" s="148"/>
      <c r="M96" s="149"/>
      <c r="N96" s="65">
        <f t="shared" si="28"/>
        <v>0</v>
      </c>
      <c r="O96" s="66">
        <f t="shared" si="29"/>
        <v>0</v>
      </c>
      <c r="P96" s="67">
        <f t="shared" si="30"/>
        <v>0</v>
      </c>
      <c r="Q96" s="68">
        <f t="shared" si="31"/>
        <v>0</v>
      </c>
      <c r="R96" s="167"/>
    </row>
    <row r="97" spans="1:20" ht="28.5" customHeight="1" x14ac:dyDescent="0.25">
      <c r="A97" s="59" t="s">
        <v>104</v>
      </c>
      <c r="B97" s="211" t="s">
        <v>178</v>
      </c>
      <c r="C97" s="202"/>
      <c r="D97" s="95" t="s">
        <v>173</v>
      </c>
      <c r="E97" s="74" t="s">
        <v>17</v>
      </c>
      <c r="F97" s="100" t="s">
        <v>23</v>
      </c>
      <c r="G97" s="102">
        <v>30</v>
      </c>
      <c r="H97" s="74">
        <f>G97*882.06</f>
        <v>26461.8</v>
      </c>
      <c r="I97" s="74"/>
      <c r="J97" s="102"/>
      <c r="K97" s="11">
        <f>H97+I97+J97</f>
        <v>26461.8</v>
      </c>
      <c r="L97" s="177"/>
      <c r="M97" s="149"/>
      <c r="N97" s="65">
        <f t="shared" si="28"/>
        <v>0</v>
      </c>
      <c r="O97" s="66">
        <f t="shared" si="29"/>
        <v>0</v>
      </c>
      <c r="P97" s="67">
        <f t="shared" si="30"/>
        <v>0</v>
      </c>
      <c r="Q97" s="68">
        <f t="shared" si="31"/>
        <v>0</v>
      </c>
      <c r="R97" s="167"/>
    </row>
    <row r="98" spans="1:20" ht="25.5" customHeight="1" x14ac:dyDescent="0.25">
      <c r="A98" s="59" t="s">
        <v>195</v>
      </c>
      <c r="B98" s="211" t="s">
        <v>178</v>
      </c>
      <c r="C98" s="202"/>
      <c r="D98" s="95" t="s">
        <v>206</v>
      </c>
      <c r="E98" s="74" t="s">
        <v>17</v>
      </c>
      <c r="F98" s="100" t="s">
        <v>20</v>
      </c>
      <c r="G98" s="102">
        <v>1.1000000000000001</v>
      </c>
      <c r="H98" s="74">
        <f>2017.78*G98</f>
        <v>2219.558</v>
      </c>
      <c r="I98" s="74"/>
      <c r="J98" s="102"/>
      <c r="K98" s="11">
        <f>H98+I98+J98</f>
        <v>2219.558</v>
      </c>
      <c r="L98" s="148"/>
      <c r="M98" s="149"/>
      <c r="N98" s="65">
        <f t="shared" si="28"/>
        <v>0</v>
      </c>
      <c r="O98" s="66">
        <f t="shared" si="29"/>
        <v>0</v>
      </c>
      <c r="P98" s="67">
        <f t="shared" si="30"/>
        <v>0</v>
      </c>
      <c r="Q98" s="68">
        <f t="shared" si="31"/>
        <v>0</v>
      </c>
      <c r="R98" s="298"/>
    </row>
    <row r="99" spans="1:20" s="290" customFormat="1" ht="27.75" customHeight="1" x14ac:dyDescent="0.25">
      <c r="A99" s="49" t="s">
        <v>105</v>
      </c>
      <c r="B99" s="210"/>
      <c r="C99" s="199" t="s">
        <v>165</v>
      </c>
      <c r="D99" s="50" t="s">
        <v>49</v>
      </c>
      <c r="E99" s="51"/>
      <c r="F99" s="52"/>
      <c r="G99" s="53"/>
      <c r="H99" s="54"/>
      <c r="I99" s="54"/>
      <c r="J99" s="53"/>
      <c r="K99" s="14"/>
      <c r="L99" s="142"/>
      <c r="M99" s="143"/>
      <c r="N99" s="81">
        <f t="shared" si="28"/>
        <v>0</v>
      </c>
      <c r="O99" s="78">
        <f t="shared" si="29"/>
        <v>0</v>
      </c>
      <c r="P99" s="82">
        <f t="shared" si="30"/>
        <v>0</v>
      </c>
      <c r="Q99" s="58">
        <f t="shared" si="31"/>
        <v>0</v>
      </c>
      <c r="R99" s="297"/>
      <c r="S99" s="289"/>
      <c r="T99" s="289"/>
    </row>
    <row r="100" spans="1:20" s="103" customFormat="1" ht="34.5" customHeight="1" x14ac:dyDescent="0.25">
      <c r="A100" s="59" t="s">
        <v>106</v>
      </c>
      <c r="B100" s="211" t="s">
        <v>177</v>
      </c>
      <c r="C100" s="200" t="s">
        <v>165</v>
      </c>
      <c r="D100" s="60" t="s">
        <v>181</v>
      </c>
      <c r="E100" s="61" t="s">
        <v>17</v>
      </c>
      <c r="F100" s="62" t="s">
        <v>18</v>
      </c>
      <c r="G100" s="105">
        <v>1</v>
      </c>
      <c r="H100" s="64">
        <f>2308.1-8.88</f>
        <v>2299.2199999999998</v>
      </c>
      <c r="I100" s="64"/>
      <c r="J100" s="63"/>
      <c r="K100" s="11">
        <f>H100+I100+J100</f>
        <v>2299.2199999999998</v>
      </c>
      <c r="L100" s="144"/>
      <c r="M100" s="145"/>
      <c r="N100" s="65">
        <f t="shared" si="28"/>
        <v>0</v>
      </c>
      <c r="O100" s="66">
        <f t="shared" si="29"/>
        <v>0</v>
      </c>
      <c r="P100" s="67">
        <f t="shared" si="30"/>
        <v>0</v>
      </c>
      <c r="Q100" s="68">
        <f t="shared" si="31"/>
        <v>0</v>
      </c>
      <c r="R100" s="166" t="s">
        <v>122</v>
      </c>
      <c r="S100" s="291"/>
      <c r="T100" s="291"/>
    </row>
    <row r="101" spans="1:20" s="294" customFormat="1" ht="30" customHeight="1" x14ac:dyDescent="0.25">
      <c r="A101" s="59" t="s">
        <v>107</v>
      </c>
      <c r="B101" s="211" t="s">
        <v>178</v>
      </c>
      <c r="C101" s="201"/>
      <c r="D101" s="183" t="s">
        <v>121</v>
      </c>
      <c r="E101" s="61" t="s">
        <v>17</v>
      </c>
      <c r="F101" s="70" t="s">
        <v>18</v>
      </c>
      <c r="G101" s="71">
        <v>1.05</v>
      </c>
      <c r="H101" s="70">
        <f>ROUND(H100*G101,2)</f>
        <v>2414.1799999999998</v>
      </c>
      <c r="I101" s="70"/>
      <c r="J101" s="71"/>
      <c r="K101" s="11">
        <f t="shared" ref="K101:K104" si="33">H101+I101+J101</f>
        <v>2414.1799999999998</v>
      </c>
      <c r="L101" s="146"/>
      <c r="M101" s="147"/>
      <c r="N101" s="65">
        <f t="shared" si="28"/>
        <v>0</v>
      </c>
      <c r="O101" s="66">
        <f t="shared" si="29"/>
        <v>0</v>
      </c>
      <c r="P101" s="67">
        <f t="shared" si="30"/>
        <v>0</v>
      </c>
      <c r="Q101" s="68">
        <f t="shared" si="31"/>
        <v>0</v>
      </c>
      <c r="R101" s="299"/>
      <c r="S101" s="293"/>
      <c r="T101" s="293"/>
    </row>
    <row r="102" spans="1:20" s="294" customFormat="1" ht="26.25" customHeight="1" x14ac:dyDescent="0.25">
      <c r="A102" s="59" t="s">
        <v>108</v>
      </c>
      <c r="B102" s="211" t="s">
        <v>178</v>
      </c>
      <c r="C102" s="201"/>
      <c r="D102" s="95" t="s">
        <v>201</v>
      </c>
      <c r="E102" s="61" t="s">
        <v>17</v>
      </c>
      <c r="F102" s="100" t="s">
        <v>18</v>
      </c>
      <c r="G102" s="102">
        <v>0.22</v>
      </c>
      <c r="H102" s="74">
        <f>195.1*G102</f>
        <v>42.921999999999997</v>
      </c>
      <c r="I102" s="70"/>
      <c r="J102" s="71"/>
      <c r="K102" s="11">
        <f t="shared" si="33"/>
        <v>42.921999999999997</v>
      </c>
      <c r="L102" s="179"/>
      <c r="M102" s="147"/>
      <c r="N102" s="65">
        <f t="shared" si="28"/>
        <v>0</v>
      </c>
      <c r="O102" s="66">
        <f t="shared" si="29"/>
        <v>0</v>
      </c>
      <c r="P102" s="67">
        <f t="shared" si="30"/>
        <v>0</v>
      </c>
      <c r="Q102" s="68">
        <f t="shared" si="31"/>
        <v>0</v>
      </c>
      <c r="R102" s="299"/>
      <c r="S102" s="293"/>
      <c r="T102" s="293"/>
    </row>
    <row r="103" spans="1:20" ht="26.25" customHeight="1" x14ac:dyDescent="0.25">
      <c r="A103" s="59" t="s">
        <v>109</v>
      </c>
      <c r="B103" s="211" t="s">
        <v>178</v>
      </c>
      <c r="C103" s="202"/>
      <c r="D103" s="95" t="s">
        <v>173</v>
      </c>
      <c r="E103" s="61" t="s">
        <v>17</v>
      </c>
      <c r="F103" s="100" t="s">
        <v>23</v>
      </c>
      <c r="G103" s="102">
        <v>30</v>
      </c>
      <c r="H103" s="74">
        <f>(H100-195.1)*G103</f>
        <v>63123.6</v>
      </c>
      <c r="I103" s="74"/>
      <c r="J103" s="102"/>
      <c r="K103" s="11">
        <f t="shared" si="33"/>
        <v>63123.6</v>
      </c>
      <c r="L103" s="148"/>
      <c r="M103" s="149"/>
      <c r="N103" s="65">
        <f t="shared" si="28"/>
        <v>0</v>
      </c>
      <c r="O103" s="66">
        <f t="shared" si="29"/>
        <v>0</v>
      </c>
      <c r="P103" s="67">
        <f t="shared" si="30"/>
        <v>0</v>
      </c>
      <c r="Q103" s="68">
        <f t="shared" si="31"/>
        <v>0</v>
      </c>
      <c r="R103" s="167"/>
    </row>
    <row r="104" spans="1:20" ht="24" customHeight="1" x14ac:dyDescent="0.25">
      <c r="A104" s="59" t="s">
        <v>304</v>
      </c>
      <c r="B104" s="211" t="s">
        <v>178</v>
      </c>
      <c r="C104" s="202"/>
      <c r="D104" s="95" t="s">
        <v>206</v>
      </c>
      <c r="E104" s="61" t="s">
        <v>17</v>
      </c>
      <c r="F104" s="72" t="s">
        <v>20</v>
      </c>
      <c r="G104" s="73">
        <v>1.1000000000000001</v>
      </c>
      <c r="H104" s="69">
        <f>3896.06*G104</f>
        <v>4285.6660000000002</v>
      </c>
      <c r="I104" s="69"/>
      <c r="J104" s="73"/>
      <c r="K104" s="11">
        <f t="shared" si="33"/>
        <v>4285.6660000000002</v>
      </c>
      <c r="L104" s="148"/>
      <c r="M104" s="149"/>
      <c r="N104" s="65">
        <f t="shared" si="28"/>
        <v>0</v>
      </c>
      <c r="O104" s="66">
        <f t="shared" si="29"/>
        <v>0</v>
      </c>
      <c r="P104" s="67">
        <f t="shared" si="30"/>
        <v>0</v>
      </c>
      <c r="Q104" s="68">
        <f t="shared" si="31"/>
        <v>0</v>
      </c>
      <c r="R104" s="298"/>
    </row>
    <row r="105" spans="1:20" s="103" customFormat="1" ht="23.25" customHeight="1" x14ac:dyDescent="0.25">
      <c r="A105" s="49" t="s">
        <v>358</v>
      </c>
      <c r="B105" s="210"/>
      <c r="C105" s="199" t="s">
        <v>165</v>
      </c>
      <c r="D105" s="50" t="s">
        <v>186</v>
      </c>
      <c r="E105" s="51"/>
      <c r="F105" s="52"/>
      <c r="G105" s="53"/>
      <c r="H105" s="54"/>
      <c r="I105" s="54"/>
      <c r="J105" s="53"/>
      <c r="K105" s="14"/>
      <c r="L105" s="142"/>
      <c r="M105" s="143"/>
      <c r="N105" s="81"/>
      <c r="O105" s="78"/>
      <c r="P105" s="82"/>
      <c r="Q105" s="58"/>
      <c r="R105" s="297"/>
      <c r="S105" s="291"/>
      <c r="T105" s="291"/>
    </row>
    <row r="106" spans="1:20" s="103" customFormat="1" ht="36" x14ac:dyDescent="0.25">
      <c r="A106" s="59" t="s">
        <v>110</v>
      </c>
      <c r="B106" s="211" t="s">
        <v>177</v>
      </c>
      <c r="C106" s="200" t="s">
        <v>165</v>
      </c>
      <c r="D106" s="60" t="s">
        <v>183</v>
      </c>
      <c r="E106" s="61" t="s">
        <v>17</v>
      </c>
      <c r="F106" s="62" t="s">
        <v>18</v>
      </c>
      <c r="G106" s="106">
        <v>1</v>
      </c>
      <c r="H106" s="11">
        <v>14.29</v>
      </c>
      <c r="I106" s="10"/>
      <c r="J106" s="13"/>
      <c r="K106" s="11">
        <f>H106+I106+J106</f>
        <v>14.29</v>
      </c>
      <c r="L106" s="216"/>
      <c r="M106" s="153"/>
      <c r="N106" s="65">
        <f t="shared" ref="N106:N109" si="34">L106+M106</f>
        <v>0</v>
      </c>
      <c r="O106" s="188">
        <f t="shared" ref="O106:O109" si="35">L106*K106</f>
        <v>0</v>
      </c>
      <c r="P106" s="67">
        <f t="shared" ref="P106:P109" si="36">M106*K106</f>
        <v>0</v>
      </c>
      <c r="Q106" s="68">
        <f t="shared" ref="Q106:Q109" si="37">O106+P106</f>
        <v>0</v>
      </c>
      <c r="R106" s="167" t="s">
        <v>122</v>
      </c>
      <c r="S106" s="291"/>
      <c r="T106" s="291"/>
    </row>
    <row r="107" spans="1:20" s="311" customFormat="1" ht="17.25" customHeight="1" x14ac:dyDescent="0.25">
      <c r="A107" s="59" t="s">
        <v>111</v>
      </c>
      <c r="B107" s="211" t="s">
        <v>178</v>
      </c>
      <c r="C107" s="217"/>
      <c r="D107" s="95" t="s">
        <v>190</v>
      </c>
      <c r="E107" s="61" t="s">
        <v>17</v>
      </c>
      <c r="F107" s="70" t="s">
        <v>19</v>
      </c>
      <c r="G107" s="186">
        <v>400</v>
      </c>
      <c r="H107" s="70">
        <f>H106*G107</f>
        <v>5716</v>
      </c>
      <c r="I107" s="186"/>
      <c r="J107" s="184"/>
      <c r="K107" s="11">
        <f t="shared" ref="K107:K109" si="38">H107+I107+J107</f>
        <v>5716</v>
      </c>
      <c r="L107" s="148"/>
      <c r="M107" s="156"/>
      <c r="N107" s="65">
        <f t="shared" si="34"/>
        <v>0</v>
      </c>
      <c r="O107" s="188">
        <f t="shared" si="35"/>
        <v>0</v>
      </c>
      <c r="P107" s="67">
        <f t="shared" si="36"/>
        <v>0</v>
      </c>
      <c r="Q107" s="68">
        <f t="shared" si="37"/>
        <v>0</v>
      </c>
      <c r="R107" s="292"/>
      <c r="S107" s="310"/>
      <c r="T107" s="310"/>
    </row>
    <row r="108" spans="1:20" s="103" customFormat="1" ht="17.25" customHeight="1" x14ac:dyDescent="0.25">
      <c r="A108" s="59" t="s">
        <v>112</v>
      </c>
      <c r="B108" s="211" t="s">
        <v>178</v>
      </c>
      <c r="C108" s="218"/>
      <c r="D108" s="95" t="s">
        <v>201</v>
      </c>
      <c r="E108" s="61" t="s">
        <v>17</v>
      </c>
      <c r="F108" s="100" t="s">
        <v>18</v>
      </c>
      <c r="G108" s="74">
        <v>0.24</v>
      </c>
      <c r="H108" s="70">
        <f>G108*H106</f>
        <v>3.4295999999999998</v>
      </c>
      <c r="I108" s="100"/>
      <c r="J108" s="185"/>
      <c r="K108" s="11">
        <f t="shared" si="38"/>
        <v>3.4295999999999998</v>
      </c>
      <c r="L108" s="148"/>
      <c r="M108" s="156"/>
      <c r="N108" s="65">
        <f t="shared" si="34"/>
        <v>0</v>
      </c>
      <c r="O108" s="188">
        <f t="shared" si="35"/>
        <v>0</v>
      </c>
      <c r="P108" s="67">
        <f t="shared" si="36"/>
        <v>0</v>
      </c>
      <c r="Q108" s="68">
        <f t="shared" si="37"/>
        <v>0</v>
      </c>
      <c r="R108" s="167"/>
      <c r="S108" s="291"/>
      <c r="T108" s="291"/>
    </row>
    <row r="109" spans="1:20" s="103" customFormat="1" ht="24.75" customHeight="1" x14ac:dyDescent="0.25">
      <c r="A109" s="59" t="s">
        <v>205</v>
      </c>
      <c r="B109" s="211" t="s">
        <v>178</v>
      </c>
      <c r="C109" s="218"/>
      <c r="D109" s="95" t="s">
        <v>206</v>
      </c>
      <c r="E109" s="61" t="s">
        <v>17</v>
      </c>
      <c r="F109" s="100" t="s">
        <v>20</v>
      </c>
      <c r="G109" s="74">
        <v>1.1000000000000001</v>
      </c>
      <c r="H109" s="70">
        <f>87*G109</f>
        <v>95.7</v>
      </c>
      <c r="I109" s="100"/>
      <c r="J109" s="185"/>
      <c r="K109" s="11">
        <f t="shared" si="38"/>
        <v>95.7</v>
      </c>
      <c r="L109" s="148"/>
      <c r="M109" s="156"/>
      <c r="N109" s="65">
        <f t="shared" si="34"/>
        <v>0</v>
      </c>
      <c r="O109" s="188">
        <f t="shared" si="35"/>
        <v>0</v>
      </c>
      <c r="P109" s="67">
        <f t="shared" si="36"/>
        <v>0</v>
      </c>
      <c r="Q109" s="68">
        <f t="shared" si="37"/>
        <v>0</v>
      </c>
      <c r="R109" s="296"/>
      <c r="S109" s="291"/>
      <c r="T109" s="291"/>
    </row>
    <row r="110" spans="1:20" s="290" customFormat="1" ht="26.25" customHeight="1" x14ac:dyDescent="0.25">
      <c r="A110" s="49" t="s">
        <v>113</v>
      </c>
      <c r="B110" s="210"/>
      <c r="C110" s="199" t="s">
        <v>165</v>
      </c>
      <c r="D110" s="50" t="s">
        <v>50</v>
      </c>
      <c r="E110" s="75"/>
      <c r="F110" s="76"/>
      <c r="G110" s="77"/>
      <c r="H110" s="79"/>
      <c r="I110" s="80"/>
      <c r="J110" s="77"/>
      <c r="K110" s="15"/>
      <c r="L110" s="150"/>
      <c r="M110" s="151"/>
      <c r="N110" s="81"/>
      <c r="O110" s="78"/>
      <c r="P110" s="82"/>
      <c r="Q110" s="58"/>
      <c r="R110" s="297"/>
      <c r="S110" s="289"/>
      <c r="T110" s="289"/>
    </row>
    <row r="111" spans="1:20" s="243" customFormat="1" ht="33.75" customHeight="1" x14ac:dyDescent="0.25">
      <c r="A111" s="221" t="s">
        <v>114</v>
      </c>
      <c r="B111" s="222" t="s">
        <v>177</v>
      </c>
      <c r="C111" s="466" t="s">
        <v>165</v>
      </c>
      <c r="D111" s="223" t="s">
        <v>198</v>
      </c>
      <c r="E111" s="224" t="s">
        <v>17</v>
      </c>
      <c r="F111" s="225" t="s">
        <v>20</v>
      </c>
      <c r="G111" s="467">
        <v>1</v>
      </c>
      <c r="H111" s="226">
        <f>15177.265</f>
        <v>15177.264999999999</v>
      </c>
      <c r="I111" s="468"/>
      <c r="J111" s="469"/>
      <c r="K111" s="226">
        <f>H111+I111+J111</f>
        <v>15177.264999999999</v>
      </c>
      <c r="L111" s="227"/>
      <c r="M111" s="153"/>
      <c r="N111" s="229">
        <f t="shared" si="28"/>
        <v>0</v>
      </c>
      <c r="O111" s="230">
        <f t="shared" si="29"/>
        <v>0</v>
      </c>
      <c r="P111" s="231">
        <f t="shared" si="30"/>
        <v>0</v>
      </c>
      <c r="Q111" s="232">
        <f t="shared" si="31"/>
        <v>0</v>
      </c>
      <c r="R111" s="187" t="s">
        <v>122</v>
      </c>
      <c r="S111" s="306"/>
      <c r="T111" s="306"/>
    </row>
    <row r="112" spans="1:20" s="314" customFormat="1" ht="20.25" customHeight="1" x14ac:dyDescent="0.25">
      <c r="A112" s="221" t="s">
        <v>115</v>
      </c>
      <c r="B112" s="222" t="s">
        <v>178</v>
      </c>
      <c r="C112" s="470"/>
      <c r="D112" s="471" t="s">
        <v>199</v>
      </c>
      <c r="E112" s="224" t="s">
        <v>17</v>
      </c>
      <c r="F112" s="233" t="s">
        <v>19</v>
      </c>
      <c r="G112" s="472">
        <v>8</v>
      </c>
      <c r="H112" s="233">
        <f>ROUND(H111*G112,0)</f>
        <v>121418</v>
      </c>
      <c r="I112" s="473"/>
      <c r="J112" s="474"/>
      <c r="K112" s="226">
        <f>H112+I112+J112</f>
        <v>121418</v>
      </c>
      <c r="L112" s="148"/>
      <c r="M112" s="228"/>
      <c r="N112" s="229">
        <f t="shared" si="28"/>
        <v>0</v>
      </c>
      <c r="O112" s="230">
        <f t="shared" si="29"/>
        <v>0</v>
      </c>
      <c r="P112" s="231">
        <f t="shared" si="30"/>
        <v>0</v>
      </c>
      <c r="Q112" s="232">
        <f t="shared" si="31"/>
        <v>0</v>
      </c>
      <c r="R112" s="312"/>
      <c r="S112" s="313"/>
      <c r="T112" s="313"/>
    </row>
    <row r="113" spans="1:20" s="314" customFormat="1" ht="20.25" customHeight="1" x14ac:dyDescent="0.25">
      <c r="A113" s="221" t="s">
        <v>116</v>
      </c>
      <c r="B113" s="222" t="s">
        <v>178</v>
      </c>
      <c r="C113" s="475"/>
      <c r="D113" s="234" t="s">
        <v>201</v>
      </c>
      <c r="E113" s="224" t="s">
        <v>17</v>
      </c>
      <c r="F113" s="476" t="s">
        <v>18</v>
      </c>
      <c r="G113" s="477" t="s">
        <v>202</v>
      </c>
      <c r="H113" s="476">
        <f>G113*111.54</f>
        <v>2.2308000000000003</v>
      </c>
      <c r="I113" s="478"/>
      <c r="J113" s="479"/>
      <c r="K113" s="226">
        <f t="shared" ref="K113:K115" si="39">H113+I113+J113</f>
        <v>2.2308000000000003</v>
      </c>
      <c r="L113" s="499"/>
      <c r="M113" s="480"/>
      <c r="N113" s="229">
        <f t="shared" si="28"/>
        <v>0</v>
      </c>
      <c r="O113" s="230">
        <f t="shared" si="29"/>
        <v>0</v>
      </c>
      <c r="P113" s="231">
        <f t="shared" si="30"/>
        <v>0</v>
      </c>
      <c r="Q113" s="232">
        <f t="shared" si="31"/>
        <v>0</v>
      </c>
      <c r="R113" s="481"/>
      <c r="S113" s="313"/>
      <c r="T113" s="313"/>
    </row>
    <row r="114" spans="1:20" s="314" customFormat="1" ht="20.25" customHeight="1" x14ac:dyDescent="0.25">
      <c r="A114" s="221" t="s">
        <v>117</v>
      </c>
      <c r="B114" s="222" t="s">
        <v>178</v>
      </c>
      <c r="C114" s="475"/>
      <c r="D114" s="234" t="s">
        <v>200</v>
      </c>
      <c r="E114" s="224" t="s">
        <v>17</v>
      </c>
      <c r="F114" s="476" t="s">
        <v>23</v>
      </c>
      <c r="G114" s="477" t="s">
        <v>203</v>
      </c>
      <c r="H114" s="476">
        <f>G114*13783</f>
        <v>27566</v>
      </c>
      <c r="I114" s="478"/>
      <c r="J114" s="479"/>
      <c r="K114" s="226">
        <f t="shared" si="39"/>
        <v>27566</v>
      </c>
      <c r="L114" s="499"/>
      <c r="M114" s="480"/>
      <c r="N114" s="229">
        <f t="shared" si="28"/>
        <v>0</v>
      </c>
      <c r="O114" s="230">
        <f t="shared" si="29"/>
        <v>0</v>
      </c>
      <c r="P114" s="231">
        <f t="shared" si="30"/>
        <v>0</v>
      </c>
      <c r="Q114" s="232">
        <f t="shared" si="31"/>
        <v>0</v>
      </c>
      <c r="R114" s="481"/>
      <c r="S114" s="313"/>
      <c r="T114" s="313"/>
    </row>
    <row r="115" spans="1:20" s="243" customFormat="1" ht="26.25" customHeight="1" x14ac:dyDescent="0.25">
      <c r="A115" s="221" t="s">
        <v>359</v>
      </c>
      <c r="B115" s="222" t="s">
        <v>178</v>
      </c>
      <c r="C115" s="482"/>
      <c r="D115" s="234" t="s">
        <v>206</v>
      </c>
      <c r="E115" s="224" t="s">
        <v>17</v>
      </c>
      <c r="F115" s="235" t="s">
        <v>20</v>
      </c>
      <c r="G115" s="483" t="s">
        <v>204</v>
      </c>
      <c r="H115" s="233">
        <f>1784.33*G115</f>
        <v>1962.7630000000001</v>
      </c>
      <c r="I115" s="235"/>
      <c r="J115" s="484"/>
      <c r="K115" s="226">
        <f t="shared" si="39"/>
        <v>1962.7630000000001</v>
      </c>
      <c r="L115" s="148"/>
      <c r="M115" s="228"/>
      <c r="N115" s="229">
        <f t="shared" si="28"/>
        <v>0</v>
      </c>
      <c r="O115" s="230">
        <f t="shared" si="29"/>
        <v>0</v>
      </c>
      <c r="P115" s="231">
        <f t="shared" si="30"/>
        <v>0</v>
      </c>
      <c r="Q115" s="232">
        <f t="shared" si="31"/>
        <v>0</v>
      </c>
      <c r="R115" s="187"/>
      <c r="S115" s="306"/>
      <c r="T115" s="306"/>
    </row>
    <row r="116" spans="1:20" s="290" customFormat="1" ht="23.25" customHeight="1" x14ac:dyDescent="0.25">
      <c r="A116" s="49" t="s">
        <v>118</v>
      </c>
      <c r="B116" s="210"/>
      <c r="C116" s="199" t="s">
        <v>165</v>
      </c>
      <c r="D116" s="50" t="s">
        <v>51</v>
      </c>
      <c r="E116" s="75"/>
      <c r="F116" s="76"/>
      <c r="G116" s="75"/>
      <c r="H116" s="75"/>
      <c r="I116" s="75"/>
      <c r="J116" s="77"/>
      <c r="K116" s="15"/>
      <c r="L116" s="150"/>
      <c r="M116" s="151"/>
      <c r="N116" s="81"/>
      <c r="O116" s="78"/>
      <c r="P116" s="82"/>
      <c r="Q116" s="58"/>
      <c r="R116" s="297"/>
      <c r="S116" s="289"/>
      <c r="T116" s="289"/>
    </row>
    <row r="117" spans="1:20" s="103" customFormat="1" ht="36" x14ac:dyDescent="0.25">
      <c r="A117" s="59" t="s">
        <v>196</v>
      </c>
      <c r="B117" s="211" t="s">
        <v>177</v>
      </c>
      <c r="C117" s="200" t="s">
        <v>165</v>
      </c>
      <c r="D117" s="60" t="s">
        <v>184</v>
      </c>
      <c r="E117" s="61" t="s">
        <v>17</v>
      </c>
      <c r="F117" s="62" t="s">
        <v>20</v>
      </c>
      <c r="G117" s="106">
        <v>1</v>
      </c>
      <c r="H117" s="191">
        <f>2165.67-J49-H32</f>
        <v>1829.6200000000001</v>
      </c>
      <c r="I117" s="10"/>
      <c r="J117" s="13"/>
      <c r="K117" s="11">
        <f>H117+I117+J117</f>
        <v>1829.6200000000001</v>
      </c>
      <c r="L117" s="152"/>
      <c r="M117" s="153"/>
      <c r="N117" s="65">
        <f t="shared" si="28"/>
        <v>0</v>
      </c>
      <c r="O117" s="66">
        <f t="shared" si="29"/>
        <v>0</v>
      </c>
      <c r="P117" s="67">
        <f t="shared" si="30"/>
        <v>0</v>
      </c>
      <c r="Q117" s="68">
        <f t="shared" si="31"/>
        <v>0</v>
      </c>
      <c r="R117" s="166" t="s">
        <v>122</v>
      </c>
      <c r="S117" s="291"/>
      <c r="T117" s="291"/>
    </row>
    <row r="118" spans="1:20" s="294" customFormat="1" ht="16.5" customHeight="1" x14ac:dyDescent="0.25">
      <c r="A118" s="59" t="s">
        <v>197</v>
      </c>
      <c r="B118" s="211" t="s">
        <v>178</v>
      </c>
      <c r="C118" s="201"/>
      <c r="D118" s="95" t="s">
        <v>190</v>
      </c>
      <c r="E118" s="61" t="s">
        <v>17</v>
      </c>
      <c r="F118" s="70" t="s">
        <v>19</v>
      </c>
      <c r="G118" s="186">
        <v>51</v>
      </c>
      <c r="H118" s="70">
        <f>ROUND(H117*G118,0)</f>
        <v>93311</v>
      </c>
      <c r="I118" s="186"/>
      <c r="J118" s="184"/>
      <c r="K118" s="11">
        <f>H118+I118+J118</f>
        <v>93311</v>
      </c>
      <c r="L118" s="148"/>
      <c r="M118" s="149"/>
      <c r="N118" s="65">
        <f t="shared" si="28"/>
        <v>0</v>
      </c>
      <c r="O118" s="66">
        <f t="shared" si="29"/>
        <v>0</v>
      </c>
      <c r="P118" s="67">
        <f t="shared" si="30"/>
        <v>0</v>
      </c>
      <c r="Q118" s="68">
        <f t="shared" si="31"/>
        <v>0</v>
      </c>
      <c r="R118" s="299"/>
      <c r="S118" s="293"/>
      <c r="T118" s="293"/>
    </row>
    <row r="119" spans="1:20" x14ac:dyDescent="0.25">
      <c r="A119" s="59" t="s">
        <v>119</v>
      </c>
      <c r="B119" s="211" t="s">
        <v>178</v>
      </c>
      <c r="C119" s="202"/>
      <c r="D119" s="95" t="s">
        <v>201</v>
      </c>
      <c r="E119" s="61" t="s">
        <v>17</v>
      </c>
      <c r="F119" s="100" t="s">
        <v>18</v>
      </c>
      <c r="G119" s="74">
        <v>0.02</v>
      </c>
      <c r="H119" s="70">
        <f>G119*H117</f>
        <v>36.592400000000005</v>
      </c>
      <c r="I119" s="100"/>
      <c r="J119" s="185"/>
      <c r="K119" s="11">
        <f t="shared" ref="K119:K182" si="40">H119+I119+J119</f>
        <v>36.592400000000005</v>
      </c>
      <c r="L119" s="148"/>
      <c r="M119" s="149"/>
      <c r="N119" s="65">
        <f t="shared" si="28"/>
        <v>0</v>
      </c>
      <c r="O119" s="66">
        <f t="shared" si="29"/>
        <v>0</v>
      </c>
      <c r="P119" s="67">
        <f t="shared" si="30"/>
        <v>0</v>
      </c>
      <c r="Q119" s="68">
        <f t="shared" si="31"/>
        <v>0</v>
      </c>
      <c r="R119" s="167"/>
    </row>
    <row r="120" spans="1:20" ht="21" customHeight="1" x14ac:dyDescent="0.25">
      <c r="A120" s="59" t="s">
        <v>120</v>
      </c>
      <c r="B120" s="211" t="s">
        <v>178</v>
      </c>
      <c r="C120" s="202"/>
      <c r="D120" s="95" t="s">
        <v>206</v>
      </c>
      <c r="E120" s="61" t="s">
        <v>17</v>
      </c>
      <c r="F120" s="100" t="s">
        <v>20</v>
      </c>
      <c r="G120" s="74">
        <v>1.1000000000000001</v>
      </c>
      <c r="H120" s="70">
        <f>2.4/0.195*70.23*0.12*G120</f>
        <v>114.09673846153846</v>
      </c>
      <c r="I120" s="100"/>
      <c r="J120" s="185"/>
      <c r="K120" s="11">
        <f t="shared" si="40"/>
        <v>114.09673846153846</v>
      </c>
      <c r="L120" s="148"/>
      <c r="M120" s="149"/>
      <c r="N120" s="65">
        <f t="shared" si="28"/>
        <v>0</v>
      </c>
      <c r="O120" s="66">
        <f t="shared" si="29"/>
        <v>0</v>
      </c>
      <c r="P120" s="67">
        <f t="shared" si="30"/>
        <v>0</v>
      </c>
      <c r="Q120" s="68">
        <f t="shared" si="31"/>
        <v>0</v>
      </c>
      <c r="R120" s="298"/>
    </row>
    <row r="121" spans="1:20" s="290" customFormat="1" ht="20.25" customHeight="1" x14ac:dyDescent="0.25">
      <c r="A121" s="49" t="s">
        <v>269</v>
      </c>
      <c r="B121" s="210" t="s">
        <v>177</v>
      </c>
      <c r="C121" s="199" t="s">
        <v>165</v>
      </c>
      <c r="D121" s="98" t="s">
        <v>246</v>
      </c>
      <c r="E121" s="51" t="s">
        <v>17</v>
      </c>
      <c r="F121" s="52" t="s">
        <v>19</v>
      </c>
      <c r="G121" s="53">
        <v>1</v>
      </c>
      <c r="H121" s="94">
        <v>116</v>
      </c>
      <c r="I121" s="94"/>
      <c r="J121" s="93"/>
      <c r="K121" s="15">
        <f t="shared" si="40"/>
        <v>116</v>
      </c>
      <c r="L121" s="150"/>
      <c r="M121" s="151"/>
      <c r="N121" s="81">
        <f t="shared" si="28"/>
        <v>0</v>
      </c>
      <c r="O121" s="78">
        <f t="shared" si="29"/>
        <v>0</v>
      </c>
      <c r="P121" s="82">
        <f t="shared" si="30"/>
        <v>0</v>
      </c>
      <c r="Q121" s="58">
        <f t="shared" si="31"/>
        <v>0</v>
      </c>
      <c r="R121" s="297"/>
      <c r="S121" s="289"/>
      <c r="T121" s="289"/>
    </row>
    <row r="122" spans="1:20" s="103" customFormat="1" ht="20.25" customHeight="1" x14ac:dyDescent="0.25">
      <c r="A122" s="59" t="s">
        <v>270</v>
      </c>
      <c r="B122" s="211" t="s">
        <v>178</v>
      </c>
      <c r="C122" s="208"/>
      <c r="D122" s="257" t="s">
        <v>247</v>
      </c>
      <c r="E122" s="61" t="s">
        <v>17</v>
      </c>
      <c r="F122" s="62" t="s">
        <v>19</v>
      </c>
      <c r="G122" s="105">
        <v>1</v>
      </c>
      <c r="H122" s="308">
        <v>1</v>
      </c>
      <c r="I122" s="106"/>
      <c r="J122" s="63"/>
      <c r="K122" s="11">
        <f t="shared" si="40"/>
        <v>1</v>
      </c>
      <c r="L122" s="148"/>
      <c r="M122" s="156"/>
      <c r="N122" s="65">
        <f t="shared" si="28"/>
        <v>0</v>
      </c>
      <c r="O122" s="66">
        <f t="shared" si="29"/>
        <v>0</v>
      </c>
      <c r="P122" s="67">
        <f t="shared" si="30"/>
        <v>0</v>
      </c>
      <c r="Q122" s="68">
        <f t="shared" si="31"/>
        <v>0</v>
      </c>
      <c r="R122" s="296"/>
      <c r="S122" s="291"/>
      <c r="T122" s="291"/>
    </row>
    <row r="123" spans="1:20" s="103" customFormat="1" ht="20.25" customHeight="1" x14ac:dyDescent="0.25">
      <c r="A123" s="59" t="s">
        <v>271</v>
      </c>
      <c r="B123" s="211" t="s">
        <v>178</v>
      </c>
      <c r="C123" s="208"/>
      <c r="D123" s="257" t="s">
        <v>248</v>
      </c>
      <c r="E123" s="61" t="s">
        <v>17</v>
      </c>
      <c r="F123" s="62" t="s">
        <v>19</v>
      </c>
      <c r="G123" s="105">
        <v>1</v>
      </c>
      <c r="H123" s="308">
        <v>3</v>
      </c>
      <c r="I123" s="106"/>
      <c r="J123" s="63"/>
      <c r="K123" s="11">
        <f t="shared" si="40"/>
        <v>3</v>
      </c>
      <c r="L123" s="148"/>
      <c r="M123" s="156"/>
      <c r="N123" s="65">
        <f t="shared" si="28"/>
        <v>0</v>
      </c>
      <c r="O123" s="66">
        <f t="shared" si="29"/>
        <v>0</v>
      </c>
      <c r="P123" s="67">
        <f t="shared" si="30"/>
        <v>0</v>
      </c>
      <c r="Q123" s="68">
        <f t="shared" si="31"/>
        <v>0</v>
      </c>
      <c r="R123" s="296"/>
      <c r="S123" s="291"/>
      <c r="T123" s="291"/>
    </row>
    <row r="124" spans="1:20" s="103" customFormat="1" ht="20.25" customHeight="1" x14ac:dyDescent="0.25">
      <c r="A124" s="59" t="s">
        <v>272</v>
      </c>
      <c r="B124" s="211" t="s">
        <v>178</v>
      </c>
      <c r="C124" s="208"/>
      <c r="D124" s="257" t="s">
        <v>249</v>
      </c>
      <c r="E124" s="61" t="s">
        <v>17</v>
      </c>
      <c r="F124" s="62" t="s">
        <v>19</v>
      </c>
      <c r="G124" s="105">
        <v>1</v>
      </c>
      <c r="H124" s="308">
        <v>16</v>
      </c>
      <c r="I124" s="106"/>
      <c r="J124" s="63"/>
      <c r="K124" s="11">
        <f t="shared" si="40"/>
        <v>16</v>
      </c>
      <c r="L124" s="148"/>
      <c r="M124" s="156"/>
      <c r="N124" s="65">
        <f t="shared" si="28"/>
        <v>0</v>
      </c>
      <c r="O124" s="66">
        <f t="shared" si="29"/>
        <v>0</v>
      </c>
      <c r="P124" s="67">
        <f t="shared" si="30"/>
        <v>0</v>
      </c>
      <c r="Q124" s="68">
        <f t="shared" si="31"/>
        <v>0</v>
      </c>
      <c r="R124" s="296"/>
      <c r="S124" s="291"/>
      <c r="T124" s="291"/>
    </row>
    <row r="125" spans="1:20" s="103" customFormat="1" ht="20.25" customHeight="1" x14ac:dyDescent="0.25">
      <c r="A125" s="59" t="s">
        <v>273</v>
      </c>
      <c r="B125" s="211" t="s">
        <v>178</v>
      </c>
      <c r="C125" s="208"/>
      <c r="D125" s="257" t="s">
        <v>250</v>
      </c>
      <c r="E125" s="61" t="s">
        <v>17</v>
      </c>
      <c r="F125" s="62" t="s">
        <v>19</v>
      </c>
      <c r="G125" s="105">
        <v>1</v>
      </c>
      <c r="H125" s="308">
        <v>1</v>
      </c>
      <c r="I125" s="106"/>
      <c r="J125" s="63"/>
      <c r="K125" s="11">
        <f t="shared" si="40"/>
        <v>1</v>
      </c>
      <c r="L125" s="148"/>
      <c r="M125" s="156"/>
      <c r="N125" s="65">
        <f t="shared" si="28"/>
        <v>0</v>
      </c>
      <c r="O125" s="66">
        <f t="shared" si="29"/>
        <v>0</v>
      </c>
      <c r="P125" s="67">
        <f t="shared" si="30"/>
        <v>0</v>
      </c>
      <c r="Q125" s="68">
        <f t="shared" si="31"/>
        <v>0</v>
      </c>
      <c r="R125" s="296"/>
      <c r="S125" s="291"/>
      <c r="T125" s="291"/>
    </row>
    <row r="126" spans="1:20" s="103" customFormat="1" ht="20.25" customHeight="1" x14ac:dyDescent="0.25">
      <c r="A126" s="59" t="s">
        <v>360</v>
      </c>
      <c r="B126" s="211" t="s">
        <v>178</v>
      </c>
      <c r="C126" s="208"/>
      <c r="D126" s="257" t="s">
        <v>251</v>
      </c>
      <c r="E126" s="61" t="s">
        <v>17</v>
      </c>
      <c r="F126" s="62" t="s">
        <v>19</v>
      </c>
      <c r="G126" s="105">
        <v>1</v>
      </c>
      <c r="H126" s="308">
        <v>1</v>
      </c>
      <c r="I126" s="106"/>
      <c r="J126" s="63"/>
      <c r="K126" s="11">
        <f t="shared" si="40"/>
        <v>1</v>
      </c>
      <c r="L126" s="148"/>
      <c r="M126" s="156"/>
      <c r="N126" s="65">
        <f t="shared" si="28"/>
        <v>0</v>
      </c>
      <c r="O126" s="66">
        <f t="shared" si="29"/>
        <v>0</v>
      </c>
      <c r="P126" s="67">
        <f t="shared" si="30"/>
        <v>0</v>
      </c>
      <c r="Q126" s="68">
        <f t="shared" si="31"/>
        <v>0</v>
      </c>
      <c r="R126" s="296"/>
      <c r="S126" s="291"/>
      <c r="T126" s="291"/>
    </row>
    <row r="127" spans="1:20" s="103" customFormat="1" ht="20.25" customHeight="1" x14ac:dyDescent="0.25">
      <c r="A127" s="59" t="s">
        <v>361</v>
      </c>
      <c r="B127" s="211" t="s">
        <v>178</v>
      </c>
      <c r="C127" s="208"/>
      <c r="D127" s="257" t="s">
        <v>252</v>
      </c>
      <c r="E127" s="61" t="s">
        <v>17</v>
      </c>
      <c r="F127" s="62" t="s">
        <v>19</v>
      </c>
      <c r="G127" s="105">
        <v>1</v>
      </c>
      <c r="H127" s="308">
        <v>4</v>
      </c>
      <c r="I127" s="106"/>
      <c r="J127" s="63"/>
      <c r="K127" s="11">
        <f t="shared" si="40"/>
        <v>4</v>
      </c>
      <c r="L127" s="148"/>
      <c r="M127" s="156"/>
      <c r="N127" s="65">
        <f t="shared" si="28"/>
        <v>0</v>
      </c>
      <c r="O127" s="66">
        <f t="shared" si="29"/>
        <v>0</v>
      </c>
      <c r="P127" s="67">
        <f t="shared" si="30"/>
        <v>0</v>
      </c>
      <c r="Q127" s="68">
        <f t="shared" si="31"/>
        <v>0</v>
      </c>
      <c r="R127" s="296"/>
      <c r="S127" s="291"/>
      <c r="T127" s="291"/>
    </row>
    <row r="128" spans="1:20" s="103" customFormat="1" ht="20.25" customHeight="1" x14ac:dyDescent="0.25">
      <c r="A128" s="59" t="s">
        <v>362</v>
      </c>
      <c r="B128" s="211" t="s">
        <v>178</v>
      </c>
      <c r="C128" s="208"/>
      <c r="D128" s="257" t="s">
        <v>253</v>
      </c>
      <c r="E128" s="61" t="s">
        <v>17</v>
      </c>
      <c r="F128" s="62" t="s">
        <v>19</v>
      </c>
      <c r="G128" s="105">
        <v>1</v>
      </c>
      <c r="H128" s="308">
        <v>1</v>
      </c>
      <c r="I128" s="106"/>
      <c r="J128" s="63"/>
      <c r="K128" s="11">
        <f t="shared" si="40"/>
        <v>1</v>
      </c>
      <c r="L128" s="148"/>
      <c r="M128" s="156"/>
      <c r="N128" s="65">
        <f t="shared" si="28"/>
        <v>0</v>
      </c>
      <c r="O128" s="66">
        <f t="shared" si="29"/>
        <v>0</v>
      </c>
      <c r="P128" s="67">
        <f t="shared" si="30"/>
        <v>0</v>
      </c>
      <c r="Q128" s="68">
        <f t="shared" si="31"/>
        <v>0</v>
      </c>
      <c r="R128" s="296"/>
      <c r="S128" s="291"/>
      <c r="T128" s="291"/>
    </row>
    <row r="129" spans="1:20" s="103" customFormat="1" ht="20.25" customHeight="1" x14ac:dyDescent="0.25">
      <c r="A129" s="59" t="s">
        <v>363</v>
      </c>
      <c r="B129" s="211" t="s">
        <v>178</v>
      </c>
      <c r="C129" s="208"/>
      <c r="D129" s="257" t="s">
        <v>254</v>
      </c>
      <c r="E129" s="61" t="s">
        <v>17</v>
      </c>
      <c r="F129" s="62" t="s">
        <v>19</v>
      </c>
      <c r="G129" s="105">
        <v>1</v>
      </c>
      <c r="H129" s="308">
        <v>1</v>
      </c>
      <c r="I129" s="106"/>
      <c r="J129" s="63"/>
      <c r="K129" s="11">
        <f t="shared" si="40"/>
        <v>1</v>
      </c>
      <c r="L129" s="148"/>
      <c r="M129" s="156"/>
      <c r="N129" s="65">
        <f t="shared" si="28"/>
        <v>0</v>
      </c>
      <c r="O129" s="66">
        <f t="shared" si="29"/>
        <v>0</v>
      </c>
      <c r="P129" s="67">
        <f t="shared" si="30"/>
        <v>0</v>
      </c>
      <c r="Q129" s="68">
        <f t="shared" si="31"/>
        <v>0</v>
      </c>
      <c r="R129" s="296"/>
      <c r="S129" s="291"/>
      <c r="T129" s="291"/>
    </row>
    <row r="130" spans="1:20" s="103" customFormat="1" ht="20.25" customHeight="1" x14ac:dyDescent="0.25">
      <c r="A130" s="59" t="s">
        <v>364</v>
      </c>
      <c r="B130" s="211" t="s">
        <v>178</v>
      </c>
      <c r="C130" s="250"/>
      <c r="D130" s="257" t="s">
        <v>255</v>
      </c>
      <c r="E130" s="61" t="s">
        <v>17</v>
      </c>
      <c r="F130" s="62" t="s">
        <v>19</v>
      </c>
      <c r="G130" s="105">
        <v>1</v>
      </c>
      <c r="H130" s="308">
        <v>3</v>
      </c>
      <c r="I130" s="256"/>
      <c r="J130" s="252"/>
      <c r="K130" s="11">
        <f t="shared" si="40"/>
        <v>3</v>
      </c>
      <c r="L130" s="248"/>
      <c r="M130" s="249"/>
      <c r="N130" s="65">
        <f t="shared" si="28"/>
        <v>0</v>
      </c>
      <c r="O130" s="66">
        <f t="shared" si="29"/>
        <v>0</v>
      </c>
      <c r="P130" s="67">
        <f t="shared" si="30"/>
        <v>0</v>
      </c>
      <c r="Q130" s="68">
        <f t="shared" si="31"/>
        <v>0</v>
      </c>
      <c r="R130" s="305"/>
      <c r="S130" s="291"/>
      <c r="T130" s="291"/>
    </row>
    <row r="131" spans="1:20" s="103" customFormat="1" ht="20.25" customHeight="1" x14ac:dyDescent="0.25">
      <c r="A131" s="59" t="s">
        <v>365</v>
      </c>
      <c r="B131" s="211" t="s">
        <v>178</v>
      </c>
      <c r="C131" s="250"/>
      <c r="D131" s="263" t="s">
        <v>256</v>
      </c>
      <c r="E131" s="61" t="s">
        <v>17</v>
      </c>
      <c r="F131" s="62" t="s">
        <v>19</v>
      </c>
      <c r="G131" s="105">
        <v>1</v>
      </c>
      <c r="H131" s="308">
        <v>1</v>
      </c>
      <c r="I131" s="256"/>
      <c r="J131" s="252"/>
      <c r="K131" s="11">
        <f t="shared" si="40"/>
        <v>1</v>
      </c>
      <c r="L131" s="248"/>
      <c r="M131" s="249"/>
      <c r="N131" s="65">
        <f t="shared" si="28"/>
        <v>0</v>
      </c>
      <c r="O131" s="66">
        <f t="shared" si="29"/>
        <v>0</v>
      </c>
      <c r="P131" s="67">
        <f t="shared" si="30"/>
        <v>0</v>
      </c>
      <c r="Q131" s="68">
        <f t="shared" si="31"/>
        <v>0</v>
      </c>
      <c r="R131" s="305"/>
      <c r="S131" s="291"/>
      <c r="T131" s="291"/>
    </row>
    <row r="132" spans="1:20" s="103" customFormat="1" ht="20.25" customHeight="1" x14ac:dyDescent="0.25">
      <c r="A132" s="59" t="s">
        <v>366</v>
      </c>
      <c r="B132" s="211" t="s">
        <v>178</v>
      </c>
      <c r="C132" s="250"/>
      <c r="D132" s="263" t="s">
        <v>257</v>
      </c>
      <c r="E132" s="61" t="s">
        <v>17</v>
      </c>
      <c r="F132" s="62" t="s">
        <v>19</v>
      </c>
      <c r="G132" s="105">
        <v>1</v>
      </c>
      <c r="H132" s="308">
        <v>1</v>
      </c>
      <c r="I132" s="256"/>
      <c r="J132" s="252"/>
      <c r="K132" s="11">
        <f t="shared" si="40"/>
        <v>1</v>
      </c>
      <c r="L132" s="248"/>
      <c r="M132" s="249"/>
      <c r="N132" s="65">
        <f t="shared" si="28"/>
        <v>0</v>
      </c>
      <c r="O132" s="66">
        <f t="shared" si="29"/>
        <v>0</v>
      </c>
      <c r="P132" s="67">
        <f t="shared" si="30"/>
        <v>0</v>
      </c>
      <c r="Q132" s="68">
        <f t="shared" si="31"/>
        <v>0</v>
      </c>
      <c r="R132" s="305"/>
      <c r="S132" s="291"/>
      <c r="T132" s="291"/>
    </row>
    <row r="133" spans="1:20" s="103" customFormat="1" ht="20.25" customHeight="1" x14ac:dyDescent="0.25">
      <c r="A133" s="59" t="s">
        <v>367</v>
      </c>
      <c r="B133" s="211" t="s">
        <v>178</v>
      </c>
      <c r="C133" s="250"/>
      <c r="D133" s="263" t="s">
        <v>258</v>
      </c>
      <c r="E133" s="61" t="s">
        <v>17</v>
      </c>
      <c r="F133" s="62" t="s">
        <v>19</v>
      </c>
      <c r="G133" s="105">
        <v>1</v>
      </c>
      <c r="H133" s="308">
        <v>1</v>
      </c>
      <c r="I133" s="256"/>
      <c r="J133" s="252"/>
      <c r="K133" s="11">
        <f t="shared" si="40"/>
        <v>1</v>
      </c>
      <c r="L133" s="248"/>
      <c r="M133" s="249"/>
      <c r="N133" s="65">
        <f t="shared" si="28"/>
        <v>0</v>
      </c>
      <c r="O133" s="66">
        <f t="shared" si="29"/>
        <v>0</v>
      </c>
      <c r="P133" s="67">
        <f t="shared" si="30"/>
        <v>0</v>
      </c>
      <c r="Q133" s="68">
        <f t="shared" si="31"/>
        <v>0</v>
      </c>
      <c r="R133" s="305"/>
      <c r="S133" s="291"/>
      <c r="T133" s="291"/>
    </row>
    <row r="134" spans="1:20" s="103" customFormat="1" ht="20.25" customHeight="1" x14ac:dyDescent="0.25">
      <c r="A134" s="59" t="s">
        <v>368</v>
      </c>
      <c r="B134" s="211" t="s">
        <v>178</v>
      </c>
      <c r="C134" s="250"/>
      <c r="D134" s="263" t="s">
        <v>258</v>
      </c>
      <c r="E134" s="61" t="s">
        <v>17</v>
      </c>
      <c r="F134" s="62" t="s">
        <v>19</v>
      </c>
      <c r="G134" s="105">
        <v>1</v>
      </c>
      <c r="H134" s="308">
        <v>13</v>
      </c>
      <c r="I134" s="256"/>
      <c r="J134" s="252"/>
      <c r="K134" s="11">
        <f t="shared" si="40"/>
        <v>13</v>
      </c>
      <c r="L134" s="248"/>
      <c r="M134" s="249"/>
      <c r="N134" s="65">
        <f t="shared" si="28"/>
        <v>0</v>
      </c>
      <c r="O134" s="66">
        <f t="shared" si="29"/>
        <v>0</v>
      </c>
      <c r="P134" s="67">
        <f t="shared" si="30"/>
        <v>0</v>
      </c>
      <c r="Q134" s="68">
        <f t="shared" si="31"/>
        <v>0</v>
      </c>
      <c r="R134" s="305"/>
      <c r="S134" s="291"/>
      <c r="T134" s="291"/>
    </row>
    <row r="135" spans="1:20" s="103" customFormat="1" ht="20.25" customHeight="1" x14ac:dyDescent="0.25">
      <c r="A135" s="59" t="s">
        <v>369</v>
      </c>
      <c r="B135" s="211" t="s">
        <v>178</v>
      </c>
      <c r="C135" s="250"/>
      <c r="D135" s="263" t="s">
        <v>259</v>
      </c>
      <c r="E135" s="61" t="s">
        <v>17</v>
      </c>
      <c r="F135" s="62" t="s">
        <v>19</v>
      </c>
      <c r="G135" s="105">
        <v>1</v>
      </c>
      <c r="H135" s="308">
        <v>3</v>
      </c>
      <c r="I135" s="256"/>
      <c r="J135" s="252"/>
      <c r="K135" s="11">
        <f t="shared" si="40"/>
        <v>3</v>
      </c>
      <c r="L135" s="248"/>
      <c r="M135" s="249"/>
      <c r="N135" s="65">
        <f t="shared" si="28"/>
        <v>0</v>
      </c>
      <c r="O135" s="66">
        <f t="shared" si="29"/>
        <v>0</v>
      </c>
      <c r="P135" s="67">
        <f t="shared" si="30"/>
        <v>0</v>
      </c>
      <c r="Q135" s="68">
        <f t="shared" si="31"/>
        <v>0</v>
      </c>
      <c r="R135" s="305"/>
      <c r="S135" s="291"/>
      <c r="T135" s="291"/>
    </row>
    <row r="136" spans="1:20" s="103" customFormat="1" ht="20.25" customHeight="1" x14ac:dyDescent="0.25">
      <c r="A136" s="59" t="s">
        <v>370</v>
      </c>
      <c r="B136" s="211" t="s">
        <v>178</v>
      </c>
      <c r="C136" s="250"/>
      <c r="D136" s="263" t="s">
        <v>260</v>
      </c>
      <c r="E136" s="61" t="s">
        <v>17</v>
      </c>
      <c r="F136" s="62" t="s">
        <v>19</v>
      </c>
      <c r="G136" s="105">
        <v>1</v>
      </c>
      <c r="H136" s="308">
        <v>1</v>
      </c>
      <c r="I136" s="256"/>
      <c r="J136" s="252"/>
      <c r="K136" s="11">
        <f t="shared" si="40"/>
        <v>1</v>
      </c>
      <c r="L136" s="248"/>
      <c r="M136" s="249"/>
      <c r="N136" s="65">
        <f t="shared" si="28"/>
        <v>0</v>
      </c>
      <c r="O136" s="66">
        <f t="shared" si="29"/>
        <v>0</v>
      </c>
      <c r="P136" s="67">
        <f t="shared" si="30"/>
        <v>0</v>
      </c>
      <c r="Q136" s="68">
        <f t="shared" si="31"/>
        <v>0</v>
      </c>
      <c r="R136" s="305"/>
      <c r="S136" s="291"/>
      <c r="T136" s="291"/>
    </row>
    <row r="137" spans="1:20" s="103" customFormat="1" ht="20.25" customHeight="1" x14ac:dyDescent="0.25">
      <c r="A137" s="59" t="s">
        <v>371</v>
      </c>
      <c r="B137" s="211" t="s">
        <v>178</v>
      </c>
      <c r="C137" s="250"/>
      <c r="D137" s="263" t="s">
        <v>261</v>
      </c>
      <c r="E137" s="61" t="s">
        <v>17</v>
      </c>
      <c r="F137" s="62" t="s">
        <v>19</v>
      </c>
      <c r="G137" s="105">
        <v>1</v>
      </c>
      <c r="H137" s="308">
        <v>1</v>
      </c>
      <c r="I137" s="256"/>
      <c r="J137" s="252"/>
      <c r="K137" s="11">
        <f t="shared" si="40"/>
        <v>1</v>
      </c>
      <c r="L137" s="248"/>
      <c r="M137" s="249"/>
      <c r="N137" s="65">
        <f t="shared" si="28"/>
        <v>0</v>
      </c>
      <c r="O137" s="66">
        <f t="shared" si="29"/>
        <v>0</v>
      </c>
      <c r="P137" s="67">
        <f t="shared" si="30"/>
        <v>0</v>
      </c>
      <c r="Q137" s="68">
        <f t="shared" si="31"/>
        <v>0</v>
      </c>
      <c r="R137" s="305"/>
      <c r="S137" s="291"/>
      <c r="T137" s="291"/>
    </row>
    <row r="138" spans="1:20" s="103" customFormat="1" ht="20.25" customHeight="1" x14ac:dyDescent="0.25">
      <c r="A138" s="59" t="s">
        <v>372</v>
      </c>
      <c r="B138" s="211" t="s">
        <v>178</v>
      </c>
      <c r="C138" s="250"/>
      <c r="D138" s="257" t="s">
        <v>262</v>
      </c>
      <c r="E138" s="61" t="s">
        <v>17</v>
      </c>
      <c r="F138" s="62" t="s">
        <v>19</v>
      </c>
      <c r="G138" s="105">
        <v>1</v>
      </c>
      <c r="H138" s="308">
        <v>1</v>
      </c>
      <c r="I138" s="256"/>
      <c r="J138" s="252"/>
      <c r="K138" s="11">
        <f t="shared" si="40"/>
        <v>1</v>
      </c>
      <c r="L138" s="248"/>
      <c r="M138" s="249"/>
      <c r="N138" s="65">
        <f t="shared" si="28"/>
        <v>0</v>
      </c>
      <c r="O138" s="66">
        <f t="shared" si="29"/>
        <v>0</v>
      </c>
      <c r="P138" s="67">
        <f t="shared" si="30"/>
        <v>0</v>
      </c>
      <c r="Q138" s="68">
        <f t="shared" si="31"/>
        <v>0</v>
      </c>
      <c r="R138" s="305"/>
      <c r="S138" s="291"/>
      <c r="T138" s="291"/>
    </row>
    <row r="139" spans="1:20" s="103" customFormat="1" ht="20.25" customHeight="1" x14ac:dyDescent="0.25">
      <c r="A139" s="59" t="s">
        <v>373</v>
      </c>
      <c r="B139" s="211" t="s">
        <v>178</v>
      </c>
      <c r="C139" s="250"/>
      <c r="D139" s="257" t="s">
        <v>263</v>
      </c>
      <c r="E139" s="61" t="s">
        <v>17</v>
      </c>
      <c r="F139" s="62" t="s">
        <v>19</v>
      </c>
      <c r="G139" s="105">
        <v>1</v>
      </c>
      <c r="H139" s="308">
        <v>1</v>
      </c>
      <c r="I139" s="256"/>
      <c r="J139" s="252"/>
      <c r="K139" s="11">
        <f t="shared" si="40"/>
        <v>1</v>
      </c>
      <c r="L139" s="248"/>
      <c r="M139" s="249"/>
      <c r="N139" s="65">
        <f t="shared" si="28"/>
        <v>0</v>
      </c>
      <c r="O139" s="66">
        <f t="shared" si="29"/>
        <v>0</v>
      </c>
      <c r="P139" s="67">
        <f t="shared" si="30"/>
        <v>0</v>
      </c>
      <c r="Q139" s="68">
        <f t="shared" si="31"/>
        <v>0</v>
      </c>
      <c r="R139" s="305"/>
      <c r="S139" s="291"/>
      <c r="T139" s="291"/>
    </row>
    <row r="140" spans="1:20" s="103" customFormat="1" ht="20.25" customHeight="1" x14ac:dyDescent="0.25">
      <c r="A140" s="59" t="s">
        <v>374</v>
      </c>
      <c r="B140" s="211" t="s">
        <v>178</v>
      </c>
      <c r="C140" s="250"/>
      <c r="D140" s="257" t="s">
        <v>264</v>
      </c>
      <c r="E140" s="61" t="s">
        <v>17</v>
      </c>
      <c r="F140" s="62" t="s">
        <v>19</v>
      </c>
      <c r="G140" s="105">
        <v>1</v>
      </c>
      <c r="H140" s="308">
        <v>4</v>
      </c>
      <c r="I140" s="256"/>
      <c r="J140" s="252"/>
      <c r="K140" s="11">
        <f t="shared" si="40"/>
        <v>4</v>
      </c>
      <c r="L140" s="248"/>
      <c r="M140" s="249"/>
      <c r="N140" s="65">
        <f t="shared" si="28"/>
        <v>0</v>
      </c>
      <c r="O140" s="66">
        <f t="shared" si="29"/>
        <v>0</v>
      </c>
      <c r="P140" s="67">
        <f t="shared" si="30"/>
        <v>0</v>
      </c>
      <c r="Q140" s="68">
        <f t="shared" si="31"/>
        <v>0</v>
      </c>
      <c r="R140" s="305"/>
      <c r="S140" s="291"/>
      <c r="T140" s="291"/>
    </row>
    <row r="141" spans="1:20" s="103" customFormat="1" ht="20.25" customHeight="1" x14ac:dyDescent="0.25">
      <c r="A141" s="59" t="s">
        <v>375</v>
      </c>
      <c r="B141" s="211" t="s">
        <v>178</v>
      </c>
      <c r="C141" s="250"/>
      <c r="D141" s="257" t="s">
        <v>265</v>
      </c>
      <c r="E141" s="61" t="s">
        <v>17</v>
      </c>
      <c r="F141" s="62" t="s">
        <v>19</v>
      </c>
      <c r="G141" s="105">
        <v>1</v>
      </c>
      <c r="H141" s="308">
        <v>1</v>
      </c>
      <c r="I141" s="256"/>
      <c r="J141" s="252"/>
      <c r="K141" s="11">
        <f t="shared" si="40"/>
        <v>1</v>
      </c>
      <c r="L141" s="248"/>
      <c r="M141" s="249"/>
      <c r="N141" s="65">
        <f t="shared" si="28"/>
        <v>0</v>
      </c>
      <c r="O141" s="66">
        <f t="shared" si="29"/>
        <v>0</v>
      </c>
      <c r="P141" s="67">
        <f t="shared" si="30"/>
        <v>0</v>
      </c>
      <c r="Q141" s="68">
        <f t="shared" si="31"/>
        <v>0</v>
      </c>
      <c r="R141" s="305"/>
      <c r="S141" s="291"/>
      <c r="T141" s="291"/>
    </row>
    <row r="142" spans="1:20" s="103" customFormat="1" ht="20.25" customHeight="1" x14ac:dyDescent="0.25">
      <c r="A142" s="59" t="s">
        <v>376</v>
      </c>
      <c r="B142" s="211" t="s">
        <v>178</v>
      </c>
      <c r="C142" s="250"/>
      <c r="D142" s="257" t="s">
        <v>266</v>
      </c>
      <c r="E142" s="61" t="s">
        <v>17</v>
      </c>
      <c r="F142" s="62" t="s">
        <v>19</v>
      </c>
      <c r="G142" s="105">
        <v>1</v>
      </c>
      <c r="H142" s="308">
        <v>1</v>
      </c>
      <c r="I142" s="256"/>
      <c r="J142" s="252"/>
      <c r="K142" s="11">
        <f t="shared" si="40"/>
        <v>1</v>
      </c>
      <c r="L142" s="248"/>
      <c r="M142" s="249"/>
      <c r="N142" s="65">
        <f t="shared" si="28"/>
        <v>0</v>
      </c>
      <c r="O142" s="66">
        <f t="shared" si="29"/>
        <v>0</v>
      </c>
      <c r="P142" s="67">
        <f t="shared" si="30"/>
        <v>0</v>
      </c>
      <c r="Q142" s="68">
        <f t="shared" si="31"/>
        <v>0</v>
      </c>
      <c r="R142" s="305"/>
      <c r="S142" s="291"/>
      <c r="T142" s="291"/>
    </row>
    <row r="143" spans="1:20" s="103" customFormat="1" ht="20.25" customHeight="1" x14ac:dyDescent="0.25">
      <c r="A143" s="59" t="s">
        <v>377</v>
      </c>
      <c r="B143" s="211" t="s">
        <v>178</v>
      </c>
      <c r="C143" s="250"/>
      <c r="D143" s="263" t="s">
        <v>267</v>
      </c>
      <c r="E143" s="61" t="s">
        <v>17</v>
      </c>
      <c r="F143" s="62" t="s">
        <v>19</v>
      </c>
      <c r="G143" s="105">
        <v>1</v>
      </c>
      <c r="H143" s="308">
        <v>1</v>
      </c>
      <c r="I143" s="256"/>
      <c r="J143" s="252"/>
      <c r="K143" s="11">
        <f t="shared" si="40"/>
        <v>1</v>
      </c>
      <c r="L143" s="248"/>
      <c r="M143" s="249"/>
      <c r="N143" s="65">
        <f t="shared" si="28"/>
        <v>0</v>
      </c>
      <c r="O143" s="66">
        <f t="shared" si="29"/>
        <v>0</v>
      </c>
      <c r="P143" s="67">
        <f t="shared" si="30"/>
        <v>0</v>
      </c>
      <c r="Q143" s="68">
        <f t="shared" si="31"/>
        <v>0</v>
      </c>
      <c r="R143" s="305"/>
      <c r="S143" s="291"/>
      <c r="T143" s="291"/>
    </row>
    <row r="144" spans="1:20" s="243" customFormat="1" ht="20.25" customHeight="1" x14ac:dyDescent="0.25">
      <c r="A144" s="59" t="s">
        <v>378</v>
      </c>
      <c r="B144" s="222" t="s">
        <v>178</v>
      </c>
      <c r="C144" s="271"/>
      <c r="D144" s="272" t="s">
        <v>244</v>
      </c>
      <c r="E144" s="224" t="s">
        <v>17</v>
      </c>
      <c r="F144" s="273" t="s">
        <v>21</v>
      </c>
      <c r="G144" s="274">
        <v>1.04</v>
      </c>
      <c r="H144" s="275">
        <f>1.187*G144</f>
        <v>1.23448</v>
      </c>
      <c r="I144" s="275"/>
      <c r="J144" s="276"/>
      <c r="K144" s="226">
        <f t="shared" si="40"/>
        <v>1.23448</v>
      </c>
      <c r="L144" s="248"/>
      <c r="M144" s="277"/>
      <c r="N144" s="229">
        <f t="shared" si="28"/>
        <v>0</v>
      </c>
      <c r="O144" s="230">
        <f t="shared" si="29"/>
        <v>0</v>
      </c>
      <c r="P144" s="231">
        <f t="shared" si="30"/>
        <v>0</v>
      </c>
      <c r="Q144" s="232">
        <f t="shared" si="31"/>
        <v>0</v>
      </c>
      <c r="R144" s="315"/>
      <c r="S144" s="306"/>
      <c r="T144" s="306"/>
    </row>
    <row r="145" spans="1:20" s="243" customFormat="1" ht="20.25" customHeight="1" x14ac:dyDescent="0.25">
      <c r="A145" s="59" t="s">
        <v>379</v>
      </c>
      <c r="B145" s="222" t="s">
        <v>178</v>
      </c>
      <c r="C145" s="271"/>
      <c r="D145" s="272" t="s">
        <v>245</v>
      </c>
      <c r="E145" s="224" t="s">
        <v>17</v>
      </c>
      <c r="F145" s="273" t="s">
        <v>18</v>
      </c>
      <c r="G145" s="274">
        <v>1</v>
      </c>
      <c r="H145" s="275">
        <f>0.1244*G145</f>
        <v>0.1244</v>
      </c>
      <c r="I145" s="275"/>
      <c r="J145" s="276"/>
      <c r="K145" s="226">
        <f t="shared" si="40"/>
        <v>0.1244</v>
      </c>
      <c r="L145" s="248"/>
      <c r="M145" s="277"/>
      <c r="N145" s="229">
        <f t="shared" si="28"/>
        <v>0</v>
      </c>
      <c r="O145" s="230">
        <f t="shared" si="29"/>
        <v>0</v>
      </c>
      <c r="P145" s="231">
        <f t="shared" si="30"/>
        <v>0</v>
      </c>
      <c r="Q145" s="232">
        <f t="shared" si="31"/>
        <v>0</v>
      </c>
      <c r="R145" s="315"/>
      <c r="S145" s="306"/>
      <c r="T145" s="306"/>
    </row>
    <row r="146" spans="1:20" s="243" customFormat="1" ht="20.25" customHeight="1" x14ac:dyDescent="0.25">
      <c r="A146" s="59" t="s">
        <v>380</v>
      </c>
      <c r="B146" s="222" t="s">
        <v>178</v>
      </c>
      <c r="C146" s="271"/>
      <c r="D146" s="95" t="s">
        <v>65</v>
      </c>
      <c r="E146" s="224" t="s">
        <v>17</v>
      </c>
      <c r="F146" s="273" t="s">
        <v>21</v>
      </c>
      <c r="G146" s="274">
        <v>1.04</v>
      </c>
      <c r="H146" s="275">
        <f>0.111*G146</f>
        <v>0.11544</v>
      </c>
      <c r="I146" s="275"/>
      <c r="J146" s="276"/>
      <c r="K146" s="226">
        <f t="shared" si="40"/>
        <v>0.11544</v>
      </c>
      <c r="L146" s="248"/>
      <c r="M146" s="277"/>
      <c r="N146" s="229">
        <f t="shared" si="28"/>
        <v>0</v>
      </c>
      <c r="O146" s="230">
        <f t="shared" si="29"/>
        <v>0</v>
      </c>
      <c r="P146" s="231">
        <f t="shared" si="30"/>
        <v>0</v>
      </c>
      <c r="Q146" s="232">
        <f t="shared" si="31"/>
        <v>0</v>
      </c>
      <c r="R146" s="315"/>
      <c r="S146" s="306"/>
      <c r="T146" s="306"/>
    </row>
    <row r="147" spans="1:20" s="243" customFormat="1" ht="20.25" customHeight="1" x14ac:dyDescent="0.25">
      <c r="A147" s="59" t="s">
        <v>381</v>
      </c>
      <c r="B147" s="222" t="s">
        <v>178</v>
      </c>
      <c r="C147" s="271"/>
      <c r="D147" s="319" t="s">
        <v>409</v>
      </c>
      <c r="E147" s="224" t="s">
        <v>17</v>
      </c>
      <c r="F147" s="100" t="s">
        <v>328</v>
      </c>
      <c r="G147" s="274">
        <v>1</v>
      </c>
      <c r="H147" s="275">
        <v>64</v>
      </c>
      <c r="I147" s="275"/>
      <c r="J147" s="276"/>
      <c r="K147" s="226">
        <f t="shared" si="40"/>
        <v>64</v>
      </c>
      <c r="L147" s="248"/>
      <c r="M147" s="277"/>
      <c r="N147" s="229">
        <f t="shared" si="28"/>
        <v>0</v>
      </c>
      <c r="O147" s="230">
        <f t="shared" si="29"/>
        <v>0</v>
      </c>
      <c r="P147" s="231">
        <f t="shared" si="30"/>
        <v>0</v>
      </c>
      <c r="Q147" s="232">
        <f t="shared" si="31"/>
        <v>0</v>
      </c>
      <c r="R147" s="315"/>
      <c r="S147" s="306"/>
      <c r="T147" s="306"/>
    </row>
    <row r="148" spans="1:20" s="290" customFormat="1" ht="20.25" customHeight="1" x14ac:dyDescent="0.25">
      <c r="A148" s="49" t="s">
        <v>279</v>
      </c>
      <c r="B148" s="210" t="s">
        <v>177</v>
      </c>
      <c r="C148" s="199" t="s">
        <v>165</v>
      </c>
      <c r="D148" s="241" t="s">
        <v>268</v>
      </c>
      <c r="E148" s="51" t="s">
        <v>17</v>
      </c>
      <c r="F148" s="52" t="s">
        <v>19</v>
      </c>
      <c r="G148" s="53">
        <v>1</v>
      </c>
      <c r="H148" s="94">
        <f>135*7</f>
        <v>945</v>
      </c>
      <c r="I148" s="94"/>
      <c r="J148" s="93"/>
      <c r="K148" s="226">
        <f t="shared" si="40"/>
        <v>945</v>
      </c>
      <c r="L148" s="150"/>
      <c r="M148" s="153"/>
      <c r="N148" s="81">
        <f t="shared" si="28"/>
        <v>0</v>
      </c>
      <c r="O148" s="78">
        <f t="shared" si="29"/>
        <v>0</v>
      </c>
      <c r="P148" s="82">
        <f t="shared" si="30"/>
        <v>0</v>
      </c>
      <c r="Q148" s="58">
        <f t="shared" si="31"/>
        <v>0</v>
      </c>
      <c r="R148" s="297"/>
      <c r="S148" s="289"/>
      <c r="T148" s="289"/>
    </row>
    <row r="149" spans="1:20" s="103" customFormat="1" ht="20.25" customHeight="1" x14ac:dyDescent="0.25">
      <c r="A149" s="59" t="s">
        <v>280</v>
      </c>
      <c r="B149" s="211" t="s">
        <v>178</v>
      </c>
      <c r="C149" s="250"/>
      <c r="D149" s="320" t="s">
        <v>247</v>
      </c>
      <c r="E149" s="61" t="s">
        <v>17</v>
      </c>
      <c r="F149" s="62" t="s">
        <v>19</v>
      </c>
      <c r="G149" s="105">
        <v>1</v>
      </c>
      <c r="H149" s="256">
        <v>112</v>
      </c>
      <c r="I149" s="256"/>
      <c r="J149" s="252"/>
      <c r="K149" s="11">
        <f t="shared" si="40"/>
        <v>112</v>
      </c>
      <c r="L149" s="148"/>
      <c r="M149" s="156"/>
      <c r="N149" s="65">
        <f t="shared" si="28"/>
        <v>0</v>
      </c>
      <c r="O149" s="188">
        <f t="shared" si="29"/>
        <v>0</v>
      </c>
      <c r="P149" s="67">
        <f t="shared" si="30"/>
        <v>0</v>
      </c>
      <c r="Q149" s="68">
        <f t="shared" si="31"/>
        <v>0</v>
      </c>
      <c r="R149" s="305"/>
      <c r="S149" s="291"/>
      <c r="T149" s="291"/>
    </row>
    <row r="150" spans="1:20" s="103" customFormat="1" ht="20.25" customHeight="1" x14ac:dyDescent="0.25">
      <c r="A150" s="59" t="s">
        <v>281</v>
      </c>
      <c r="B150" s="211" t="s">
        <v>178</v>
      </c>
      <c r="C150" s="250"/>
      <c r="D150" s="320" t="s">
        <v>248</v>
      </c>
      <c r="E150" s="61" t="s">
        <v>17</v>
      </c>
      <c r="F150" s="62" t="s">
        <v>19</v>
      </c>
      <c r="G150" s="105">
        <v>1</v>
      </c>
      <c r="H150" s="256">
        <v>21</v>
      </c>
      <c r="I150" s="256"/>
      <c r="J150" s="252"/>
      <c r="K150" s="11">
        <f t="shared" si="40"/>
        <v>21</v>
      </c>
      <c r="L150" s="148"/>
      <c r="M150" s="156"/>
      <c r="N150" s="65">
        <f t="shared" si="28"/>
        <v>0</v>
      </c>
      <c r="O150" s="188">
        <f t="shared" si="29"/>
        <v>0</v>
      </c>
      <c r="P150" s="67">
        <f t="shared" si="30"/>
        <v>0</v>
      </c>
      <c r="Q150" s="68">
        <f t="shared" si="31"/>
        <v>0</v>
      </c>
      <c r="R150" s="305"/>
      <c r="S150" s="291"/>
      <c r="T150" s="291"/>
    </row>
    <row r="151" spans="1:20" s="103" customFormat="1" ht="20.25" customHeight="1" x14ac:dyDescent="0.25">
      <c r="A151" s="59" t="s">
        <v>282</v>
      </c>
      <c r="B151" s="211" t="s">
        <v>178</v>
      </c>
      <c r="C151" s="250"/>
      <c r="D151" s="263" t="s">
        <v>274</v>
      </c>
      <c r="E151" s="61" t="s">
        <v>17</v>
      </c>
      <c r="F151" s="62" t="s">
        <v>19</v>
      </c>
      <c r="G151" s="105">
        <v>1</v>
      </c>
      <c r="H151" s="256">
        <v>14</v>
      </c>
      <c r="I151" s="256"/>
      <c r="J151" s="252"/>
      <c r="K151" s="11">
        <f t="shared" si="40"/>
        <v>14</v>
      </c>
      <c r="L151" s="148"/>
      <c r="M151" s="156"/>
      <c r="N151" s="65">
        <f t="shared" si="28"/>
        <v>0</v>
      </c>
      <c r="O151" s="188">
        <f t="shared" si="29"/>
        <v>0</v>
      </c>
      <c r="P151" s="67">
        <f t="shared" si="30"/>
        <v>0</v>
      </c>
      <c r="Q151" s="68">
        <f t="shared" si="31"/>
        <v>0</v>
      </c>
      <c r="R151" s="305"/>
      <c r="S151" s="291"/>
      <c r="T151" s="291"/>
    </row>
    <row r="152" spans="1:20" s="103" customFormat="1" ht="20.25" customHeight="1" x14ac:dyDescent="0.25">
      <c r="A152" s="59" t="s">
        <v>283</v>
      </c>
      <c r="B152" s="211" t="s">
        <v>178</v>
      </c>
      <c r="C152" s="250"/>
      <c r="D152" s="263" t="s">
        <v>275</v>
      </c>
      <c r="E152" s="61" t="s">
        <v>17</v>
      </c>
      <c r="F152" s="62" t="s">
        <v>19</v>
      </c>
      <c r="G152" s="105">
        <v>1</v>
      </c>
      <c r="H152" s="256">
        <v>105</v>
      </c>
      <c r="I152" s="256"/>
      <c r="J152" s="252"/>
      <c r="K152" s="11">
        <f t="shared" si="40"/>
        <v>105</v>
      </c>
      <c r="L152" s="148"/>
      <c r="M152" s="156"/>
      <c r="N152" s="65">
        <f t="shared" si="28"/>
        <v>0</v>
      </c>
      <c r="O152" s="188">
        <f t="shared" si="29"/>
        <v>0</v>
      </c>
      <c r="P152" s="67">
        <f t="shared" si="30"/>
        <v>0</v>
      </c>
      <c r="Q152" s="68">
        <f t="shared" si="31"/>
        <v>0</v>
      </c>
      <c r="R152" s="305"/>
      <c r="S152" s="291"/>
      <c r="T152" s="291"/>
    </row>
    <row r="153" spans="1:20" s="103" customFormat="1" ht="20.25" customHeight="1" x14ac:dyDescent="0.25">
      <c r="A153" s="59" t="s">
        <v>284</v>
      </c>
      <c r="B153" s="211" t="s">
        <v>178</v>
      </c>
      <c r="C153" s="250"/>
      <c r="D153" s="263" t="s">
        <v>250</v>
      </c>
      <c r="E153" s="61" t="s">
        <v>17</v>
      </c>
      <c r="F153" s="62" t="s">
        <v>19</v>
      </c>
      <c r="G153" s="105">
        <v>1</v>
      </c>
      <c r="H153" s="256">
        <v>7</v>
      </c>
      <c r="I153" s="256"/>
      <c r="J153" s="252"/>
      <c r="K153" s="11">
        <f t="shared" si="40"/>
        <v>7</v>
      </c>
      <c r="L153" s="148"/>
      <c r="M153" s="156"/>
      <c r="N153" s="65">
        <f t="shared" si="28"/>
        <v>0</v>
      </c>
      <c r="O153" s="188">
        <f t="shared" si="29"/>
        <v>0</v>
      </c>
      <c r="P153" s="67">
        <f t="shared" si="30"/>
        <v>0</v>
      </c>
      <c r="Q153" s="68">
        <f t="shared" si="31"/>
        <v>0</v>
      </c>
      <c r="R153" s="305"/>
      <c r="S153" s="291"/>
      <c r="T153" s="291"/>
    </row>
    <row r="154" spans="1:20" s="103" customFormat="1" ht="20.25" customHeight="1" x14ac:dyDescent="0.25">
      <c r="A154" s="59" t="s">
        <v>285</v>
      </c>
      <c r="B154" s="211" t="s">
        <v>178</v>
      </c>
      <c r="C154" s="250"/>
      <c r="D154" s="263" t="s">
        <v>252</v>
      </c>
      <c r="E154" s="61" t="s">
        <v>17</v>
      </c>
      <c r="F154" s="62" t="s">
        <v>19</v>
      </c>
      <c r="G154" s="105">
        <v>1</v>
      </c>
      <c r="H154" s="256">
        <v>49</v>
      </c>
      <c r="I154" s="256"/>
      <c r="J154" s="252"/>
      <c r="K154" s="11">
        <f t="shared" si="40"/>
        <v>49</v>
      </c>
      <c r="L154" s="148"/>
      <c r="M154" s="156"/>
      <c r="N154" s="65">
        <f t="shared" si="28"/>
        <v>0</v>
      </c>
      <c r="O154" s="188">
        <f t="shared" si="29"/>
        <v>0</v>
      </c>
      <c r="P154" s="67">
        <f t="shared" si="30"/>
        <v>0</v>
      </c>
      <c r="Q154" s="68">
        <f t="shared" si="31"/>
        <v>0</v>
      </c>
      <c r="R154" s="305"/>
      <c r="S154" s="291"/>
      <c r="T154" s="291"/>
    </row>
    <row r="155" spans="1:20" s="103" customFormat="1" ht="20.25" customHeight="1" x14ac:dyDescent="0.25">
      <c r="A155" s="59" t="s">
        <v>286</v>
      </c>
      <c r="B155" s="211" t="s">
        <v>178</v>
      </c>
      <c r="C155" s="250"/>
      <c r="D155" s="263" t="s">
        <v>255</v>
      </c>
      <c r="E155" s="61" t="s">
        <v>17</v>
      </c>
      <c r="F155" s="62" t="s">
        <v>19</v>
      </c>
      <c r="G155" s="105">
        <v>1</v>
      </c>
      <c r="H155" s="256">
        <v>14</v>
      </c>
      <c r="I155" s="256"/>
      <c r="J155" s="252"/>
      <c r="K155" s="11">
        <f t="shared" si="40"/>
        <v>14</v>
      </c>
      <c r="L155" s="148"/>
      <c r="M155" s="156"/>
      <c r="N155" s="65">
        <f t="shared" si="28"/>
        <v>0</v>
      </c>
      <c r="O155" s="188">
        <f t="shared" si="29"/>
        <v>0</v>
      </c>
      <c r="P155" s="67">
        <f t="shared" si="30"/>
        <v>0</v>
      </c>
      <c r="Q155" s="68">
        <f t="shared" si="31"/>
        <v>0</v>
      </c>
      <c r="R155" s="305"/>
      <c r="S155" s="291"/>
      <c r="T155" s="291"/>
    </row>
    <row r="156" spans="1:20" s="103" customFormat="1" ht="20.25" customHeight="1" x14ac:dyDescent="0.25">
      <c r="A156" s="59" t="s">
        <v>287</v>
      </c>
      <c r="B156" s="211" t="s">
        <v>178</v>
      </c>
      <c r="C156" s="250"/>
      <c r="D156" s="263" t="s">
        <v>276</v>
      </c>
      <c r="E156" s="61" t="s">
        <v>17</v>
      </c>
      <c r="F156" s="62" t="s">
        <v>19</v>
      </c>
      <c r="G156" s="105">
        <v>1</v>
      </c>
      <c r="H156" s="256">
        <v>7</v>
      </c>
      <c r="I156" s="256"/>
      <c r="J156" s="252"/>
      <c r="K156" s="11">
        <f t="shared" si="40"/>
        <v>7</v>
      </c>
      <c r="L156" s="148"/>
      <c r="M156" s="156"/>
      <c r="N156" s="65">
        <f t="shared" si="28"/>
        <v>0</v>
      </c>
      <c r="O156" s="188">
        <f t="shared" si="29"/>
        <v>0</v>
      </c>
      <c r="P156" s="67">
        <f t="shared" si="30"/>
        <v>0</v>
      </c>
      <c r="Q156" s="68">
        <f t="shared" si="31"/>
        <v>0</v>
      </c>
      <c r="R156" s="305"/>
      <c r="S156" s="291"/>
      <c r="T156" s="291"/>
    </row>
    <row r="157" spans="1:20" s="103" customFormat="1" ht="20.25" customHeight="1" x14ac:dyDescent="0.25">
      <c r="A157" s="59" t="s">
        <v>288</v>
      </c>
      <c r="B157" s="211" t="s">
        <v>178</v>
      </c>
      <c r="C157" s="250"/>
      <c r="D157" s="263" t="s">
        <v>258</v>
      </c>
      <c r="E157" s="61" t="s">
        <v>17</v>
      </c>
      <c r="F157" s="62" t="s">
        <v>19</v>
      </c>
      <c r="G157" s="105">
        <v>1</v>
      </c>
      <c r="H157" s="256">
        <v>98</v>
      </c>
      <c r="I157" s="256"/>
      <c r="J157" s="252"/>
      <c r="K157" s="11">
        <f t="shared" si="40"/>
        <v>98</v>
      </c>
      <c r="L157" s="148"/>
      <c r="M157" s="156"/>
      <c r="N157" s="65">
        <f t="shared" si="28"/>
        <v>0</v>
      </c>
      <c r="O157" s="188">
        <f t="shared" si="29"/>
        <v>0</v>
      </c>
      <c r="P157" s="67">
        <f t="shared" si="30"/>
        <v>0</v>
      </c>
      <c r="Q157" s="68">
        <f t="shared" si="31"/>
        <v>0</v>
      </c>
      <c r="R157" s="305"/>
      <c r="S157" s="291"/>
      <c r="T157" s="291"/>
    </row>
    <row r="158" spans="1:20" s="103" customFormat="1" ht="20.25" customHeight="1" x14ac:dyDescent="0.25">
      <c r="A158" s="59" t="s">
        <v>289</v>
      </c>
      <c r="B158" s="211" t="s">
        <v>178</v>
      </c>
      <c r="C158" s="250"/>
      <c r="D158" s="263" t="s">
        <v>259</v>
      </c>
      <c r="E158" s="61" t="s">
        <v>17</v>
      </c>
      <c r="F158" s="62" t="s">
        <v>19</v>
      </c>
      <c r="G158" s="105">
        <v>1</v>
      </c>
      <c r="H158" s="256">
        <v>28</v>
      </c>
      <c r="I158" s="256"/>
      <c r="J158" s="252"/>
      <c r="K158" s="11">
        <f t="shared" si="40"/>
        <v>28</v>
      </c>
      <c r="L158" s="148"/>
      <c r="M158" s="156"/>
      <c r="N158" s="65">
        <f t="shared" ref="N158:N196" si="41">L158+M158</f>
        <v>0</v>
      </c>
      <c r="O158" s="188">
        <f t="shared" ref="O158:O197" si="42">L158*K158</f>
        <v>0</v>
      </c>
      <c r="P158" s="67">
        <f t="shared" ref="P158:P197" si="43">M158*K158</f>
        <v>0</v>
      </c>
      <c r="Q158" s="68">
        <f t="shared" ref="Q158:Q196" si="44">O158+P158</f>
        <v>0</v>
      </c>
      <c r="R158" s="305"/>
      <c r="S158" s="291"/>
      <c r="T158" s="291"/>
    </row>
    <row r="159" spans="1:20" s="103" customFormat="1" ht="20.25" customHeight="1" x14ac:dyDescent="0.25">
      <c r="A159" s="59" t="s">
        <v>290</v>
      </c>
      <c r="B159" s="211" t="s">
        <v>178</v>
      </c>
      <c r="C159" s="250"/>
      <c r="D159" s="263" t="s">
        <v>277</v>
      </c>
      <c r="E159" s="61" t="s">
        <v>17</v>
      </c>
      <c r="F159" s="62" t="s">
        <v>19</v>
      </c>
      <c r="G159" s="105">
        <v>1</v>
      </c>
      <c r="H159" s="256">
        <v>7</v>
      </c>
      <c r="I159" s="256"/>
      <c r="J159" s="252"/>
      <c r="K159" s="11">
        <f t="shared" si="40"/>
        <v>7</v>
      </c>
      <c r="L159" s="148"/>
      <c r="M159" s="156"/>
      <c r="N159" s="65">
        <f t="shared" si="41"/>
        <v>0</v>
      </c>
      <c r="O159" s="188">
        <f t="shared" si="42"/>
        <v>0</v>
      </c>
      <c r="P159" s="67">
        <f t="shared" si="43"/>
        <v>0</v>
      </c>
      <c r="Q159" s="68">
        <f t="shared" si="44"/>
        <v>0</v>
      </c>
      <c r="R159" s="305"/>
      <c r="S159" s="291"/>
      <c r="T159" s="291"/>
    </row>
    <row r="160" spans="1:20" s="103" customFormat="1" ht="20.25" customHeight="1" x14ac:dyDescent="0.25">
      <c r="A160" s="59" t="s">
        <v>292</v>
      </c>
      <c r="B160" s="211" t="s">
        <v>178</v>
      </c>
      <c r="C160" s="250"/>
      <c r="D160" s="263" t="s">
        <v>261</v>
      </c>
      <c r="E160" s="61" t="s">
        <v>17</v>
      </c>
      <c r="F160" s="62" t="s">
        <v>19</v>
      </c>
      <c r="G160" s="105">
        <v>1</v>
      </c>
      <c r="H160" s="256">
        <v>7</v>
      </c>
      <c r="I160" s="256"/>
      <c r="J160" s="252"/>
      <c r="K160" s="11">
        <f t="shared" si="40"/>
        <v>7</v>
      </c>
      <c r="L160" s="148"/>
      <c r="M160" s="156"/>
      <c r="N160" s="65">
        <f t="shared" si="41"/>
        <v>0</v>
      </c>
      <c r="O160" s="188">
        <f t="shared" si="42"/>
        <v>0</v>
      </c>
      <c r="P160" s="67">
        <f t="shared" si="43"/>
        <v>0</v>
      </c>
      <c r="Q160" s="68">
        <f t="shared" si="44"/>
        <v>0</v>
      </c>
      <c r="R160" s="305"/>
      <c r="S160" s="291"/>
      <c r="T160" s="291"/>
    </row>
    <row r="161" spans="1:20" s="103" customFormat="1" ht="20.25" customHeight="1" x14ac:dyDescent="0.25">
      <c r="A161" s="59" t="s">
        <v>293</v>
      </c>
      <c r="B161" s="211" t="s">
        <v>178</v>
      </c>
      <c r="C161" s="250"/>
      <c r="D161" s="263" t="s">
        <v>262</v>
      </c>
      <c r="E161" s="61" t="s">
        <v>17</v>
      </c>
      <c r="F161" s="62" t="s">
        <v>19</v>
      </c>
      <c r="G161" s="105">
        <v>1</v>
      </c>
      <c r="H161" s="256">
        <v>7</v>
      </c>
      <c r="I161" s="256"/>
      <c r="J161" s="252"/>
      <c r="K161" s="11">
        <f t="shared" si="40"/>
        <v>7</v>
      </c>
      <c r="L161" s="148"/>
      <c r="M161" s="156"/>
      <c r="N161" s="65">
        <f t="shared" si="41"/>
        <v>0</v>
      </c>
      <c r="O161" s="188">
        <f t="shared" si="42"/>
        <v>0</v>
      </c>
      <c r="P161" s="67">
        <f t="shared" si="43"/>
        <v>0</v>
      </c>
      <c r="Q161" s="68">
        <f t="shared" si="44"/>
        <v>0</v>
      </c>
      <c r="R161" s="305"/>
      <c r="S161" s="291"/>
      <c r="T161" s="291"/>
    </row>
    <row r="162" spans="1:20" s="103" customFormat="1" ht="20.25" customHeight="1" x14ac:dyDescent="0.25">
      <c r="A162" s="59" t="s">
        <v>294</v>
      </c>
      <c r="B162" s="211" t="s">
        <v>178</v>
      </c>
      <c r="C162" s="250"/>
      <c r="D162" s="263" t="s">
        <v>274</v>
      </c>
      <c r="E162" s="61" t="s">
        <v>17</v>
      </c>
      <c r="F162" s="62" t="s">
        <v>19</v>
      </c>
      <c r="G162" s="105">
        <v>1</v>
      </c>
      <c r="H162" s="256">
        <v>21</v>
      </c>
      <c r="I162" s="256"/>
      <c r="J162" s="252"/>
      <c r="K162" s="11">
        <f t="shared" si="40"/>
        <v>21</v>
      </c>
      <c r="L162" s="148"/>
      <c r="M162" s="156"/>
      <c r="N162" s="65">
        <f t="shared" si="41"/>
        <v>0</v>
      </c>
      <c r="O162" s="188">
        <f t="shared" si="42"/>
        <v>0</v>
      </c>
      <c r="P162" s="67">
        <f t="shared" si="43"/>
        <v>0</v>
      </c>
      <c r="Q162" s="68">
        <f t="shared" si="44"/>
        <v>0</v>
      </c>
      <c r="R162" s="305"/>
      <c r="S162" s="291"/>
      <c r="T162" s="291"/>
    </row>
    <row r="163" spans="1:20" s="103" customFormat="1" ht="20.25" customHeight="1" x14ac:dyDescent="0.25">
      <c r="A163" s="59" t="s">
        <v>295</v>
      </c>
      <c r="B163" s="211" t="s">
        <v>178</v>
      </c>
      <c r="C163" s="250"/>
      <c r="D163" s="263" t="s">
        <v>264</v>
      </c>
      <c r="E163" s="61" t="s">
        <v>17</v>
      </c>
      <c r="F163" s="62" t="s">
        <v>19</v>
      </c>
      <c r="G163" s="105">
        <v>1</v>
      </c>
      <c r="H163" s="256">
        <v>28</v>
      </c>
      <c r="I163" s="256"/>
      <c r="J163" s="252"/>
      <c r="K163" s="11">
        <f t="shared" si="40"/>
        <v>28</v>
      </c>
      <c r="L163" s="148"/>
      <c r="M163" s="156"/>
      <c r="N163" s="65">
        <f t="shared" si="41"/>
        <v>0</v>
      </c>
      <c r="O163" s="188">
        <f t="shared" si="42"/>
        <v>0</v>
      </c>
      <c r="P163" s="67">
        <f t="shared" si="43"/>
        <v>0</v>
      </c>
      <c r="Q163" s="68">
        <f t="shared" si="44"/>
        <v>0</v>
      </c>
      <c r="R163" s="305"/>
      <c r="S163" s="291"/>
      <c r="T163" s="291"/>
    </row>
    <row r="164" spans="1:20" s="103" customFormat="1" ht="20.25" customHeight="1" x14ac:dyDescent="0.25">
      <c r="A164" s="59" t="s">
        <v>296</v>
      </c>
      <c r="B164" s="211" t="s">
        <v>178</v>
      </c>
      <c r="C164" s="250"/>
      <c r="D164" s="263" t="s">
        <v>265</v>
      </c>
      <c r="E164" s="61" t="s">
        <v>17</v>
      </c>
      <c r="F164" s="62" t="s">
        <v>19</v>
      </c>
      <c r="G164" s="105">
        <v>1</v>
      </c>
      <c r="H164" s="256">
        <v>7</v>
      </c>
      <c r="I164" s="256"/>
      <c r="J164" s="252"/>
      <c r="K164" s="11">
        <f t="shared" si="40"/>
        <v>7</v>
      </c>
      <c r="L164" s="148"/>
      <c r="M164" s="156"/>
      <c r="N164" s="65">
        <f t="shared" si="41"/>
        <v>0</v>
      </c>
      <c r="O164" s="188">
        <f t="shared" si="42"/>
        <v>0</v>
      </c>
      <c r="P164" s="67">
        <f t="shared" si="43"/>
        <v>0</v>
      </c>
      <c r="Q164" s="68">
        <f t="shared" si="44"/>
        <v>0</v>
      </c>
      <c r="R164" s="305"/>
      <c r="S164" s="291"/>
      <c r="T164" s="291"/>
    </row>
    <row r="165" spans="1:20" s="103" customFormat="1" ht="20.25" customHeight="1" x14ac:dyDescent="0.25">
      <c r="A165" s="59" t="s">
        <v>297</v>
      </c>
      <c r="B165" s="211" t="s">
        <v>178</v>
      </c>
      <c r="C165" s="250"/>
      <c r="D165" s="263" t="s">
        <v>278</v>
      </c>
      <c r="E165" s="61" t="s">
        <v>17</v>
      </c>
      <c r="F165" s="62" t="s">
        <v>19</v>
      </c>
      <c r="G165" s="105">
        <v>1</v>
      </c>
      <c r="H165" s="256">
        <v>7</v>
      </c>
      <c r="I165" s="256"/>
      <c r="J165" s="252"/>
      <c r="K165" s="11">
        <f t="shared" si="40"/>
        <v>7</v>
      </c>
      <c r="L165" s="148"/>
      <c r="M165" s="156"/>
      <c r="N165" s="65">
        <f t="shared" si="41"/>
        <v>0</v>
      </c>
      <c r="O165" s="188">
        <f t="shared" si="42"/>
        <v>0</v>
      </c>
      <c r="P165" s="67">
        <f t="shared" si="43"/>
        <v>0</v>
      </c>
      <c r="Q165" s="68">
        <f t="shared" si="44"/>
        <v>0</v>
      </c>
      <c r="R165" s="305"/>
      <c r="S165" s="291"/>
      <c r="T165" s="291"/>
    </row>
    <row r="166" spans="1:20" s="243" customFormat="1" ht="20.25" customHeight="1" x14ac:dyDescent="0.25">
      <c r="A166" s="59" t="s">
        <v>298</v>
      </c>
      <c r="B166" s="211" t="s">
        <v>178</v>
      </c>
      <c r="C166" s="250"/>
      <c r="D166" s="500" t="s">
        <v>244</v>
      </c>
      <c r="E166" s="61" t="s">
        <v>17</v>
      </c>
      <c r="F166" s="251" t="s">
        <v>21</v>
      </c>
      <c r="G166" s="255">
        <v>1.04</v>
      </c>
      <c r="H166" s="256">
        <f>5.33*G166</f>
        <v>5.5432000000000006</v>
      </c>
      <c r="I166" s="256"/>
      <c r="J166" s="252"/>
      <c r="K166" s="11">
        <f t="shared" si="40"/>
        <v>5.5432000000000006</v>
      </c>
      <c r="L166" s="148"/>
      <c r="M166" s="228"/>
      <c r="N166" s="229">
        <f t="shared" si="41"/>
        <v>0</v>
      </c>
      <c r="O166" s="230">
        <f t="shared" si="42"/>
        <v>0</v>
      </c>
      <c r="P166" s="231">
        <f t="shared" si="43"/>
        <v>0</v>
      </c>
      <c r="Q166" s="232">
        <f t="shared" si="44"/>
        <v>0</v>
      </c>
      <c r="R166" s="315"/>
      <c r="S166" s="306"/>
      <c r="T166" s="306"/>
    </row>
    <row r="167" spans="1:20" s="243" customFormat="1" ht="20.25" customHeight="1" x14ac:dyDescent="0.25">
      <c r="A167" s="59" t="s">
        <v>299</v>
      </c>
      <c r="B167" s="211" t="s">
        <v>178</v>
      </c>
      <c r="C167" s="250"/>
      <c r="D167" s="500" t="s">
        <v>245</v>
      </c>
      <c r="E167" s="61" t="s">
        <v>17</v>
      </c>
      <c r="F167" s="251" t="s">
        <v>18</v>
      </c>
      <c r="G167" s="255">
        <v>1</v>
      </c>
      <c r="H167" s="256">
        <v>1.0489999999999999</v>
      </c>
      <c r="I167" s="256"/>
      <c r="J167" s="252"/>
      <c r="K167" s="11">
        <f t="shared" si="40"/>
        <v>1.0489999999999999</v>
      </c>
      <c r="L167" s="148"/>
      <c r="M167" s="228"/>
      <c r="N167" s="229">
        <f t="shared" si="41"/>
        <v>0</v>
      </c>
      <c r="O167" s="230">
        <f t="shared" si="42"/>
        <v>0</v>
      </c>
      <c r="P167" s="231">
        <f t="shared" si="43"/>
        <v>0</v>
      </c>
      <c r="Q167" s="232">
        <f t="shared" si="44"/>
        <v>0</v>
      </c>
      <c r="R167" s="315"/>
      <c r="S167" s="306"/>
      <c r="T167" s="306"/>
    </row>
    <row r="168" spans="1:20" s="243" customFormat="1" ht="20.25" customHeight="1" x14ac:dyDescent="0.25">
      <c r="A168" s="59" t="s">
        <v>300</v>
      </c>
      <c r="B168" s="211" t="s">
        <v>178</v>
      </c>
      <c r="C168" s="250"/>
      <c r="D168" s="95" t="s">
        <v>65</v>
      </c>
      <c r="E168" s="61" t="s">
        <v>17</v>
      </c>
      <c r="F168" s="251" t="s">
        <v>21</v>
      </c>
      <c r="G168" s="255">
        <v>1.04</v>
      </c>
      <c r="H168" s="256">
        <f>0.933*G168</f>
        <v>0.97032000000000007</v>
      </c>
      <c r="I168" s="256"/>
      <c r="J168" s="252"/>
      <c r="K168" s="11">
        <f t="shared" si="40"/>
        <v>0.97032000000000007</v>
      </c>
      <c r="L168" s="148"/>
      <c r="M168" s="228"/>
      <c r="N168" s="229">
        <f t="shared" si="41"/>
        <v>0</v>
      </c>
      <c r="O168" s="230">
        <f t="shared" si="42"/>
        <v>0</v>
      </c>
      <c r="P168" s="231">
        <f t="shared" si="43"/>
        <v>0</v>
      </c>
      <c r="Q168" s="232">
        <f t="shared" si="44"/>
        <v>0</v>
      </c>
      <c r="R168" s="315"/>
      <c r="S168" s="306"/>
      <c r="T168" s="306"/>
    </row>
    <row r="169" spans="1:20" s="243" customFormat="1" ht="20.25" customHeight="1" x14ac:dyDescent="0.25">
      <c r="A169" s="59" t="s">
        <v>305</v>
      </c>
      <c r="B169" s="211" t="s">
        <v>178</v>
      </c>
      <c r="C169" s="250"/>
      <c r="D169" s="487" t="s">
        <v>409</v>
      </c>
      <c r="E169" s="61" t="s">
        <v>17</v>
      </c>
      <c r="F169" s="100" t="s">
        <v>328</v>
      </c>
      <c r="G169" s="255">
        <v>1</v>
      </c>
      <c r="H169" s="256">
        <v>686</v>
      </c>
      <c r="I169" s="256"/>
      <c r="J169" s="252"/>
      <c r="K169" s="11">
        <f t="shared" si="40"/>
        <v>686</v>
      </c>
      <c r="L169" s="148"/>
      <c r="M169" s="228"/>
      <c r="N169" s="229">
        <f t="shared" si="41"/>
        <v>0</v>
      </c>
      <c r="O169" s="230">
        <f t="shared" si="42"/>
        <v>0</v>
      </c>
      <c r="P169" s="231">
        <f t="shared" si="43"/>
        <v>0</v>
      </c>
      <c r="Q169" s="232">
        <f t="shared" si="44"/>
        <v>0</v>
      </c>
      <c r="R169" s="315"/>
      <c r="S169" s="306"/>
      <c r="T169" s="306"/>
    </row>
    <row r="170" spans="1:20" s="290" customFormat="1" ht="20.25" customHeight="1" x14ac:dyDescent="0.25">
      <c r="A170" s="49" t="s">
        <v>306</v>
      </c>
      <c r="B170" s="210" t="s">
        <v>177</v>
      </c>
      <c r="C170" s="199" t="s">
        <v>165</v>
      </c>
      <c r="D170" s="98" t="s">
        <v>291</v>
      </c>
      <c r="E170" s="51" t="s">
        <v>17</v>
      </c>
      <c r="F170" s="52" t="s">
        <v>19</v>
      </c>
      <c r="G170" s="53">
        <v>1</v>
      </c>
      <c r="H170" s="94">
        <v>1920</v>
      </c>
      <c r="I170" s="94"/>
      <c r="J170" s="93"/>
      <c r="K170" s="15">
        <f t="shared" si="40"/>
        <v>1920</v>
      </c>
      <c r="L170" s="150"/>
      <c r="M170" s="153"/>
      <c r="N170" s="81">
        <f t="shared" si="41"/>
        <v>0</v>
      </c>
      <c r="O170" s="78">
        <f t="shared" si="42"/>
        <v>0</v>
      </c>
      <c r="P170" s="82">
        <f t="shared" si="43"/>
        <v>0</v>
      </c>
      <c r="Q170" s="58">
        <f t="shared" si="44"/>
        <v>0</v>
      </c>
      <c r="R170" s="297"/>
      <c r="S170" s="289"/>
      <c r="T170" s="289"/>
    </row>
    <row r="171" spans="1:20" s="103" customFormat="1" ht="20.25" customHeight="1" x14ac:dyDescent="0.25">
      <c r="A171" s="59" t="s">
        <v>307</v>
      </c>
      <c r="B171" s="211" t="s">
        <v>178</v>
      </c>
      <c r="C171" s="250"/>
      <c r="D171" s="327" t="s">
        <v>247</v>
      </c>
      <c r="E171" s="61" t="s">
        <v>17</v>
      </c>
      <c r="F171" s="62" t="s">
        <v>19</v>
      </c>
      <c r="G171" s="255">
        <v>1</v>
      </c>
      <c r="H171" s="256">
        <v>256</v>
      </c>
      <c r="I171" s="256"/>
      <c r="J171" s="252"/>
      <c r="K171" s="11">
        <f t="shared" si="40"/>
        <v>256</v>
      </c>
      <c r="L171" s="148"/>
      <c r="M171" s="156"/>
      <c r="N171" s="65">
        <f t="shared" si="41"/>
        <v>0</v>
      </c>
      <c r="O171" s="188">
        <f t="shared" si="42"/>
        <v>0</v>
      </c>
      <c r="P171" s="67">
        <f t="shared" si="43"/>
        <v>0</v>
      </c>
      <c r="Q171" s="68">
        <f t="shared" si="44"/>
        <v>0</v>
      </c>
      <c r="R171" s="305"/>
      <c r="S171" s="291"/>
      <c r="T171" s="291"/>
    </row>
    <row r="172" spans="1:20" s="103" customFormat="1" ht="20.25" customHeight="1" x14ac:dyDescent="0.25">
      <c r="A172" s="59" t="s">
        <v>308</v>
      </c>
      <c r="B172" s="211" t="s">
        <v>178</v>
      </c>
      <c r="C172" s="250"/>
      <c r="D172" s="327" t="s">
        <v>248</v>
      </c>
      <c r="E172" s="61" t="s">
        <v>17</v>
      </c>
      <c r="F172" s="62" t="s">
        <v>19</v>
      </c>
      <c r="G172" s="255">
        <v>1</v>
      </c>
      <c r="H172" s="256">
        <v>48</v>
      </c>
      <c r="I172" s="256"/>
      <c r="J172" s="252"/>
      <c r="K172" s="11">
        <f t="shared" si="40"/>
        <v>48</v>
      </c>
      <c r="L172" s="148"/>
      <c r="M172" s="156"/>
      <c r="N172" s="65">
        <f t="shared" si="41"/>
        <v>0</v>
      </c>
      <c r="O172" s="188">
        <f t="shared" si="42"/>
        <v>0</v>
      </c>
      <c r="P172" s="67">
        <f t="shared" si="43"/>
        <v>0</v>
      </c>
      <c r="Q172" s="68">
        <f t="shared" si="44"/>
        <v>0</v>
      </c>
      <c r="R172" s="305"/>
      <c r="S172" s="291"/>
      <c r="T172" s="291"/>
    </row>
    <row r="173" spans="1:20" s="103" customFormat="1" ht="20.25" customHeight="1" x14ac:dyDescent="0.25">
      <c r="A173" s="59" t="s">
        <v>309</v>
      </c>
      <c r="B173" s="211" t="s">
        <v>178</v>
      </c>
      <c r="C173" s="250"/>
      <c r="D173" s="257" t="s">
        <v>274</v>
      </c>
      <c r="E173" s="61" t="s">
        <v>17</v>
      </c>
      <c r="F173" s="62" t="s">
        <v>19</v>
      </c>
      <c r="G173" s="255">
        <v>1</v>
      </c>
      <c r="H173" s="256">
        <v>80</v>
      </c>
      <c r="I173" s="256"/>
      <c r="J173" s="252"/>
      <c r="K173" s="11">
        <f t="shared" si="40"/>
        <v>80</v>
      </c>
      <c r="L173" s="148"/>
      <c r="M173" s="156"/>
      <c r="N173" s="65">
        <f t="shared" si="41"/>
        <v>0</v>
      </c>
      <c r="O173" s="188">
        <f t="shared" si="42"/>
        <v>0</v>
      </c>
      <c r="P173" s="67">
        <f t="shared" si="43"/>
        <v>0</v>
      </c>
      <c r="Q173" s="68">
        <f t="shared" si="44"/>
        <v>0</v>
      </c>
      <c r="R173" s="305"/>
      <c r="S173" s="291"/>
      <c r="T173" s="291"/>
    </row>
    <row r="174" spans="1:20" s="103" customFormat="1" ht="20.25" customHeight="1" x14ac:dyDescent="0.25">
      <c r="A174" s="59" t="s">
        <v>310</v>
      </c>
      <c r="B174" s="211" t="s">
        <v>178</v>
      </c>
      <c r="C174" s="250"/>
      <c r="D174" s="257" t="s">
        <v>275</v>
      </c>
      <c r="E174" s="61" t="s">
        <v>17</v>
      </c>
      <c r="F174" s="62" t="s">
        <v>19</v>
      </c>
      <c r="G174" s="255">
        <v>1</v>
      </c>
      <c r="H174" s="256">
        <v>240</v>
      </c>
      <c r="I174" s="256"/>
      <c r="J174" s="252"/>
      <c r="K174" s="11">
        <f t="shared" si="40"/>
        <v>240</v>
      </c>
      <c r="L174" s="148"/>
      <c r="M174" s="156"/>
      <c r="N174" s="65">
        <f t="shared" si="41"/>
        <v>0</v>
      </c>
      <c r="O174" s="188">
        <f t="shared" si="42"/>
        <v>0</v>
      </c>
      <c r="P174" s="67">
        <f t="shared" si="43"/>
        <v>0</v>
      </c>
      <c r="Q174" s="68">
        <f t="shared" si="44"/>
        <v>0</v>
      </c>
      <c r="R174" s="305"/>
      <c r="S174" s="291"/>
      <c r="T174" s="291"/>
    </row>
    <row r="175" spans="1:20" s="103" customFormat="1" ht="20.25" customHeight="1" x14ac:dyDescent="0.25">
      <c r="A175" s="59" t="s">
        <v>311</v>
      </c>
      <c r="B175" s="211" t="s">
        <v>178</v>
      </c>
      <c r="C175" s="250"/>
      <c r="D175" s="257" t="s">
        <v>250</v>
      </c>
      <c r="E175" s="61" t="s">
        <v>17</v>
      </c>
      <c r="F175" s="62" t="s">
        <v>19</v>
      </c>
      <c r="G175" s="255">
        <v>1</v>
      </c>
      <c r="H175" s="256">
        <v>16</v>
      </c>
      <c r="I175" s="256"/>
      <c r="J175" s="252"/>
      <c r="K175" s="11">
        <f t="shared" si="40"/>
        <v>16</v>
      </c>
      <c r="L175" s="148"/>
      <c r="M175" s="156"/>
      <c r="N175" s="65">
        <f t="shared" si="41"/>
        <v>0</v>
      </c>
      <c r="O175" s="188">
        <f t="shared" si="42"/>
        <v>0</v>
      </c>
      <c r="P175" s="67">
        <f t="shared" si="43"/>
        <v>0</v>
      </c>
      <c r="Q175" s="68">
        <f t="shared" si="44"/>
        <v>0</v>
      </c>
      <c r="R175" s="305"/>
      <c r="S175" s="291"/>
      <c r="T175" s="291"/>
    </row>
    <row r="176" spans="1:20" s="103" customFormat="1" ht="20.25" customHeight="1" x14ac:dyDescent="0.25">
      <c r="A176" s="59" t="s">
        <v>312</v>
      </c>
      <c r="B176" s="211" t="s">
        <v>178</v>
      </c>
      <c r="C176" s="250"/>
      <c r="D176" s="257" t="s">
        <v>252</v>
      </c>
      <c r="E176" s="61" t="s">
        <v>17</v>
      </c>
      <c r="F176" s="62" t="s">
        <v>19</v>
      </c>
      <c r="G176" s="255">
        <v>1</v>
      </c>
      <c r="H176" s="256">
        <v>96</v>
      </c>
      <c r="I176" s="256"/>
      <c r="J176" s="252"/>
      <c r="K176" s="11">
        <f t="shared" si="40"/>
        <v>96</v>
      </c>
      <c r="L176" s="148"/>
      <c r="M176" s="156"/>
      <c r="N176" s="65">
        <f t="shared" si="41"/>
        <v>0</v>
      </c>
      <c r="O176" s="188">
        <f t="shared" si="42"/>
        <v>0</v>
      </c>
      <c r="P176" s="67">
        <f t="shared" si="43"/>
        <v>0</v>
      </c>
      <c r="Q176" s="68">
        <f t="shared" si="44"/>
        <v>0</v>
      </c>
      <c r="R176" s="305"/>
      <c r="S176" s="291"/>
      <c r="T176" s="291"/>
    </row>
    <row r="177" spans="1:20" s="103" customFormat="1" ht="20.25" customHeight="1" x14ac:dyDescent="0.25">
      <c r="A177" s="59" t="s">
        <v>313</v>
      </c>
      <c r="B177" s="211" t="s">
        <v>178</v>
      </c>
      <c r="C177" s="250"/>
      <c r="D177" s="257" t="s">
        <v>255</v>
      </c>
      <c r="E177" s="61" t="s">
        <v>17</v>
      </c>
      <c r="F177" s="62" t="s">
        <v>19</v>
      </c>
      <c r="G177" s="255">
        <v>1</v>
      </c>
      <c r="H177" s="256">
        <v>32</v>
      </c>
      <c r="I177" s="256"/>
      <c r="J177" s="252"/>
      <c r="K177" s="11">
        <f t="shared" si="40"/>
        <v>32</v>
      </c>
      <c r="L177" s="148"/>
      <c r="M177" s="156"/>
      <c r="N177" s="65">
        <f t="shared" si="41"/>
        <v>0</v>
      </c>
      <c r="O177" s="188">
        <f t="shared" si="42"/>
        <v>0</v>
      </c>
      <c r="P177" s="67">
        <f t="shared" si="43"/>
        <v>0</v>
      </c>
      <c r="Q177" s="68">
        <f t="shared" si="44"/>
        <v>0</v>
      </c>
      <c r="R177" s="305"/>
      <c r="S177" s="291"/>
      <c r="T177" s="291"/>
    </row>
    <row r="178" spans="1:20" s="103" customFormat="1" ht="20.25" customHeight="1" x14ac:dyDescent="0.25">
      <c r="A178" s="59" t="s">
        <v>314</v>
      </c>
      <c r="B178" s="211" t="s">
        <v>178</v>
      </c>
      <c r="C178" s="250"/>
      <c r="D178" s="257" t="s">
        <v>276</v>
      </c>
      <c r="E178" s="61" t="s">
        <v>17</v>
      </c>
      <c r="F178" s="62" t="s">
        <v>19</v>
      </c>
      <c r="G178" s="255">
        <v>1</v>
      </c>
      <c r="H178" s="256">
        <v>16</v>
      </c>
      <c r="I178" s="256"/>
      <c r="J178" s="252"/>
      <c r="K178" s="11">
        <f t="shared" si="40"/>
        <v>16</v>
      </c>
      <c r="L178" s="148"/>
      <c r="M178" s="156"/>
      <c r="N178" s="65">
        <f t="shared" si="41"/>
        <v>0</v>
      </c>
      <c r="O178" s="188">
        <f t="shared" si="42"/>
        <v>0</v>
      </c>
      <c r="P178" s="67">
        <f t="shared" si="43"/>
        <v>0</v>
      </c>
      <c r="Q178" s="68">
        <f t="shared" si="44"/>
        <v>0</v>
      </c>
      <c r="R178" s="305"/>
      <c r="S178" s="291"/>
      <c r="T178" s="291"/>
    </row>
    <row r="179" spans="1:20" s="103" customFormat="1" ht="20.25" customHeight="1" x14ac:dyDescent="0.25">
      <c r="A179" s="59" t="s">
        <v>315</v>
      </c>
      <c r="B179" s="211" t="s">
        <v>178</v>
      </c>
      <c r="C179" s="250"/>
      <c r="D179" s="257" t="s">
        <v>258</v>
      </c>
      <c r="E179" s="61" t="s">
        <v>17</v>
      </c>
      <c r="F179" s="62" t="s">
        <v>19</v>
      </c>
      <c r="G179" s="255">
        <v>1</v>
      </c>
      <c r="H179" s="256">
        <v>176</v>
      </c>
      <c r="I179" s="256"/>
      <c r="J179" s="252"/>
      <c r="K179" s="11">
        <f t="shared" si="40"/>
        <v>176</v>
      </c>
      <c r="L179" s="148"/>
      <c r="M179" s="156"/>
      <c r="N179" s="65">
        <f t="shared" si="41"/>
        <v>0</v>
      </c>
      <c r="O179" s="188">
        <f t="shared" si="42"/>
        <v>0</v>
      </c>
      <c r="P179" s="67">
        <f t="shared" si="43"/>
        <v>0</v>
      </c>
      <c r="Q179" s="68">
        <f t="shared" si="44"/>
        <v>0</v>
      </c>
      <c r="R179" s="305"/>
      <c r="S179" s="291"/>
      <c r="T179" s="291"/>
    </row>
    <row r="180" spans="1:20" s="103" customFormat="1" ht="20.25" customHeight="1" x14ac:dyDescent="0.25">
      <c r="A180" s="59" t="s">
        <v>316</v>
      </c>
      <c r="B180" s="211" t="s">
        <v>178</v>
      </c>
      <c r="C180" s="250"/>
      <c r="D180" s="263" t="s">
        <v>259</v>
      </c>
      <c r="E180" s="61" t="s">
        <v>17</v>
      </c>
      <c r="F180" s="62" t="s">
        <v>19</v>
      </c>
      <c r="G180" s="255">
        <v>1</v>
      </c>
      <c r="H180" s="256">
        <v>48</v>
      </c>
      <c r="I180" s="256"/>
      <c r="J180" s="252"/>
      <c r="K180" s="11">
        <f t="shared" si="40"/>
        <v>48</v>
      </c>
      <c r="L180" s="148"/>
      <c r="M180" s="156"/>
      <c r="N180" s="65">
        <f t="shared" si="41"/>
        <v>0</v>
      </c>
      <c r="O180" s="188">
        <f t="shared" si="42"/>
        <v>0</v>
      </c>
      <c r="P180" s="67">
        <f t="shared" si="43"/>
        <v>0</v>
      </c>
      <c r="Q180" s="68">
        <f t="shared" si="44"/>
        <v>0</v>
      </c>
      <c r="R180" s="305"/>
      <c r="S180" s="291"/>
      <c r="T180" s="291"/>
    </row>
    <row r="181" spans="1:20" s="103" customFormat="1" ht="20.25" customHeight="1" x14ac:dyDescent="0.25">
      <c r="A181" s="59" t="s">
        <v>317</v>
      </c>
      <c r="B181" s="211" t="s">
        <v>178</v>
      </c>
      <c r="C181" s="250"/>
      <c r="D181" s="257" t="s">
        <v>277</v>
      </c>
      <c r="E181" s="61" t="s">
        <v>17</v>
      </c>
      <c r="F181" s="62" t="s">
        <v>19</v>
      </c>
      <c r="G181" s="255">
        <v>1</v>
      </c>
      <c r="H181" s="256">
        <v>16</v>
      </c>
      <c r="I181" s="256"/>
      <c r="J181" s="252"/>
      <c r="K181" s="11">
        <f t="shared" si="40"/>
        <v>16</v>
      </c>
      <c r="L181" s="148"/>
      <c r="M181" s="156"/>
      <c r="N181" s="65">
        <f t="shared" si="41"/>
        <v>0</v>
      </c>
      <c r="O181" s="188">
        <f t="shared" si="42"/>
        <v>0</v>
      </c>
      <c r="P181" s="67">
        <f t="shared" si="43"/>
        <v>0</v>
      </c>
      <c r="Q181" s="68">
        <f t="shared" si="44"/>
        <v>0</v>
      </c>
      <c r="R181" s="305"/>
      <c r="S181" s="291"/>
      <c r="T181" s="291"/>
    </row>
    <row r="182" spans="1:20" s="103" customFormat="1" ht="20.25" customHeight="1" x14ac:dyDescent="0.25">
      <c r="A182" s="59" t="s">
        <v>318</v>
      </c>
      <c r="B182" s="211" t="s">
        <v>178</v>
      </c>
      <c r="C182" s="250"/>
      <c r="D182" s="257" t="s">
        <v>261</v>
      </c>
      <c r="E182" s="61" t="s">
        <v>17</v>
      </c>
      <c r="F182" s="62" t="s">
        <v>19</v>
      </c>
      <c r="G182" s="255">
        <v>1</v>
      </c>
      <c r="H182" s="256">
        <v>16</v>
      </c>
      <c r="I182" s="256"/>
      <c r="J182" s="252"/>
      <c r="K182" s="11">
        <f t="shared" si="40"/>
        <v>16</v>
      </c>
      <c r="L182" s="248"/>
      <c r="M182" s="249"/>
      <c r="N182" s="65">
        <f t="shared" si="41"/>
        <v>0</v>
      </c>
      <c r="O182" s="188">
        <f t="shared" si="42"/>
        <v>0</v>
      </c>
      <c r="P182" s="67">
        <f t="shared" si="43"/>
        <v>0</v>
      </c>
      <c r="Q182" s="68">
        <f t="shared" si="44"/>
        <v>0</v>
      </c>
      <c r="R182" s="305"/>
      <c r="S182" s="291"/>
      <c r="T182" s="291"/>
    </row>
    <row r="183" spans="1:20" s="103" customFormat="1" ht="20.25" customHeight="1" x14ac:dyDescent="0.25">
      <c r="A183" s="59" t="s">
        <v>319</v>
      </c>
      <c r="B183" s="211" t="s">
        <v>178</v>
      </c>
      <c r="C183" s="250"/>
      <c r="D183" s="257" t="s">
        <v>262</v>
      </c>
      <c r="E183" s="61" t="s">
        <v>17</v>
      </c>
      <c r="F183" s="62" t="s">
        <v>19</v>
      </c>
      <c r="G183" s="255">
        <v>1</v>
      </c>
      <c r="H183" s="256">
        <v>16</v>
      </c>
      <c r="I183" s="256"/>
      <c r="J183" s="252"/>
      <c r="K183" s="11">
        <f t="shared" ref="K183:K193" si="45">H183+I183+J183</f>
        <v>16</v>
      </c>
      <c r="L183" s="248"/>
      <c r="M183" s="249"/>
      <c r="N183" s="65">
        <f t="shared" si="41"/>
        <v>0</v>
      </c>
      <c r="O183" s="188">
        <f t="shared" si="42"/>
        <v>0</v>
      </c>
      <c r="P183" s="67">
        <f t="shared" si="43"/>
        <v>0</v>
      </c>
      <c r="Q183" s="68">
        <f t="shared" si="44"/>
        <v>0</v>
      </c>
      <c r="R183" s="305"/>
      <c r="S183" s="291"/>
      <c r="T183" s="291"/>
    </row>
    <row r="184" spans="1:20" s="103" customFormat="1" ht="20.25" customHeight="1" x14ac:dyDescent="0.25">
      <c r="A184" s="59" t="s">
        <v>320</v>
      </c>
      <c r="B184" s="211" t="s">
        <v>178</v>
      </c>
      <c r="C184" s="250"/>
      <c r="D184" s="263" t="s">
        <v>274</v>
      </c>
      <c r="E184" s="61" t="s">
        <v>17</v>
      </c>
      <c r="F184" s="62" t="s">
        <v>19</v>
      </c>
      <c r="G184" s="255">
        <v>1</v>
      </c>
      <c r="H184" s="256">
        <v>48</v>
      </c>
      <c r="I184" s="256"/>
      <c r="J184" s="252"/>
      <c r="K184" s="11">
        <f t="shared" si="45"/>
        <v>48</v>
      </c>
      <c r="L184" s="248"/>
      <c r="M184" s="249"/>
      <c r="N184" s="65">
        <f t="shared" si="41"/>
        <v>0</v>
      </c>
      <c r="O184" s="188">
        <f t="shared" si="42"/>
        <v>0</v>
      </c>
      <c r="P184" s="67">
        <f t="shared" si="43"/>
        <v>0</v>
      </c>
      <c r="Q184" s="68">
        <f t="shared" si="44"/>
        <v>0</v>
      </c>
      <c r="R184" s="305"/>
      <c r="S184" s="291"/>
      <c r="T184" s="291"/>
    </row>
    <row r="185" spans="1:20" s="103" customFormat="1" ht="20.25" customHeight="1" x14ac:dyDescent="0.25">
      <c r="A185" s="59" t="s">
        <v>321</v>
      </c>
      <c r="B185" s="211" t="s">
        <v>178</v>
      </c>
      <c r="C185" s="250"/>
      <c r="D185" s="257" t="s">
        <v>264</v>
      </c>
      <c r="E185" s="61" t="s">
        <v>17</v>
      </c>
      <c r="F185" s="62" t="s">
        <v>19</v>
      </c>
      <c r="G185" s="255">
        <v>1</v>
      </c>
      <c r="H185" s="256">
        <v>64</v>
      </c>
      <c r="I185" s="256"/>
      <c r="J185" s="252"/>
      <c r="K185" s="11">
        <f t="shared" si="45"/>
        <v>64</v>
      </c>
      <c r="L185" s="248"/>
      <c r="M185" s="249"/>
      <c r="N185" s="65">
        <f t="shared" si="41"/>
        <v>0</v>
      </c>
      <c r="O185" s="188">
        <f t="shared" si="42"/>
        <v>0</v>
      </c>
      <c r="P185" s="67">
        <f t="shared" si="43"/>
        <v>0</v>
      </c>
      <c r="Q185" s="68">
        <f t="shared" si="44"/>
        <v>0</v>
      </c>
      <c r="R185" s="305"/>
      <c r="S185" s="291"/>
      <c r="T185" s="291"/>
    </row>
    <row r="186" spans="1:20" s="103" customFormat="1" ht="20.25" customHeight="1" x14ac:dyDescent="0.25">
      <c r="A186" s="59" t="s">
        <v>322</v>
      </c>
      <c r="B186" s="211" t="s">
        <v>178</v>
      </c>
      <c r="C186" s="250"/>
      <c r="D186" s="257" t="s">
        <v>265</v>
      </c>
      <c r="E186" s="61" t="s">
        <v>17</v>
      </c>
      <c r="F186" s="62" t="s">
        <v>19</v>
      </c>
      <c r="G186" s="255">
        <v>1</v>
      </c>
      <c r="H186" s="256">
        <v>16</v>
      </c>
      <c r="I186" s="256"/>
      <c r="J186" s="252"/>
      <c r="K186" s="11">
        <f t="shared" si="45"/>
        <v>16</v>
      </c>
      <c r="L186" s="248"/>
      <c r="M186" s="249"/>
      <c r="N186" s="65">
        <f t="shared" si="41"/>
        <v>0</v>
      </c>
      <c r="O186" s="188">
        <f t="shared" si="42"/>
        <v>0</v>
      </c>
      <c r="P186" s="67">
        <f t="shared" si="43"/>
        <v>0</v>
      </c>
      <c r="Q186" s="68">
        <f t="shared" si="44"/>
        <v>0</v>
      </c>
      <c r="R186" s="305"/>
      <c r="S186" s="291"/>
      <c r="T186" s="291"/>
    </row>
    <row r="187" spans="1:20" s="103" customFormat="1" ht="20.25" customHeight="1" x14ac:dyDescent="0.25">
      <c r="A187" s="59" t="s">
        <v>323</v>
      </c>
      <c r="B187" s="211" t="s">
        <v>178</v>
      </c>
      <c r="C187" s="250"/>
      <c r="D187" s="257" t="s">
        <v>278</v>
      </c>
      <c r="E187" s="61" t="s">
        <v>17</v>
      </c>
      <c r="F187" s="62" t="s">
        <v>19</v>
      </c>
      <c r="G187" s="255">
        <v>1</v>
      </c>
      <c r="H187" s="256">
        <v>16</v>
      </c>
      <c r="I187" s="256"/>
      <c r="J187" s="252"/>
      <c r="K187" s="11">
        <f t="shared" si="45"/>
        <v>16</v>
      </c>
      <c r="L187" s="248"/>
      <c r="M187" s="249"/>
      <c r="N187" s="65">
        <f t="shared" si="41"/>
        <v>0</v>
      </c>
      <c r="O187" s="188">
        <f t="shared" si="42"/>
        <v>0</v>
      </c>
      <c r="P187" s="67">
        <f t="shared" si="43"/>
        <v>0</v>
      </c>
      <c r="Q187" s="68">
        <f t="shared" si="44"/>
        <v>0</v>
      </c>
      <c r="R187" s="305"/>
      <c r="S187" s="291"/>
      <c r="T187" s="291"/>
    </row>
    <row r="188" spans="1:20" s="243" customFormat="1" ht="20.25" customHeight="1" x14ac:dyDescent="0.25">
      <c r="A188" s="59" t="s">
        <v>324</v>
      </c>
      <c r="B188" s="222" t="s">
        <v>178</v>
      </c>
      <c r="C188" s="271"/>
      <c r="D188" s="272" t="s">
        <v>244</v>
      </c>
      <c r="E188" s="224" t="s">
        <v>17</v>
      </c>
      <c r="F188" s="273" t="s">
        <v>21</v>
      </c>
      <c r="G188" s="274">
        <v>1.04</v>
      </c>
      <c r="H188" s="275">
        <f>12.188*G188</f>
        <v>12.675520000000001</v>
      </c>
      <c r="I188" s="275"/>
      <c r="J188" s="276"/>
      <c r="K188" s="226">
        <f>H188+I188+J188</f>
        <v>12.675520000000001</v>
      </c>
      <c r="L188" s="248"/>
      <c r="M188" s="277"/>
      <c r="N188" s="65">
        <f t="shared" si="41"/>
        <v>0</v>
      </c>
      <c r="O188" s="188">
        <f t="shared" si="42"/>
        <v>0</v>
      </c>
      <c r="P188" s="67">
        <f t="shared" si="43"/>
        <v>0</v>
      </c>
      <c r="Q188" s="68">
        <f t="shared" si="44"/>
        <v>0</v>
      </c>
      <c r="R188" s="315"/>
      <c r="S188" s="306"/>
      <c r="T188" s="306"/>
    </row>
    <row r="189" spans="1:20" s="243" customFormat="1" ht="20.25" customHeight="1" x14ac:dyDescent="0.25">
      <c r="A189" s="59" t="s">
        <v>325</v>
      </c>
      <c r="B189" s="222" t="s">
        <v>178</v>
      </c>
      <c r="C189" s="271"/>
      <c r="D189" s="272" t="s">
        <v>245</v>
      </c>
      <c r="E189" s="224" t="s">
        <v>17</v>
      </c>
      <c r="F189" s="273" t="s">
        <v>18</v>
      </c>
      <c r="G189" s="274">
        <v>1</v>
      </c>
      <c r="H189" s="275">
        <v>1.9390000000000001</v>
      </c>
      <c r="I189" s="275"/>
      <c r="J189" s="276"/>
      <c r="K189" s="226">
        <f t="shared" si="45"/>
        <v>1.9390000000000001</v>
      </c>
      <c r="L189" s="248"/>
      <c r="M189" s="277"/>
      <c r="N189" s="65">
        <f t="shared" si="41"/>
        <v>0</v>
      </c>
      <c r="O189" s="188">
        <f t="shared" si="42"/>
        <v>0</v>
      </c>
      <c r="P189" s="67">
        <f t="shared" si="43"/>
        <v>0</v>
      </c>
      <c r="Q189" s="68">
        <f t="shared" si="44"/>
        <v>0</v>
      </c>
      <c r="R189" s="315"/>
      <c r="S189" s="306"/>
      <c r="T189" s="306"/>
    </row>
    <row r="190" spans="1:20" s="243" customFormat="1" ht="20.25" customHeight="1" x14ac:dyDescent="0.25">
      <c r="A190" s="59" t="s">
        <v>326</v>
      </c>
      <c r="B190" s="222" t="s">
        <v>178</v>
      </c>
      <c r="C190" s="271"/>
      <c r="D190" s="95" t="s">
        <v>65</v>
      </c>
      <c r="E190" s="224" t="s">
        <v>17</v>
      </c>
      <c r="F190" s="273" t="s">
        <v>21</v>
      </c>
      <c r="G190" s="274">
        <v>1.04</v>
      </c>
      <c r="H190" s="275">
        <f>1.726*G190</f>
        <v>1.79504</v>
      </c>
      <c r="I190" s="275"/>
      <c r="J190" s="276"/>
      <c r="K190" s="226">
        <f t="shared" si="45"/>
        <v>1.79504</v>
      </c>
      <c r="L190" s="248"/>
      <c r="M190" s="277"/>
      <c r="N190" s="65">
        <f t="shared" si="41"/>
        <v>0</v>
      </c>
      <c r="O190" s="188">
        <f t="shared" si="42"/>
        <v>0</v>
      </c>
      <c r="P190" s="67">
        <f t="shared" si="43"/>
        <v>0</v>
      </c>
      <c r="Q190" s="68">
        <f t="shared" si="44"/>
        <v>0</v>
      </c>
      <c r="R190" s="315"/>
      <c r="S190" s="306"/>
      <c r="T190" s="306"/>
    </row>
    <row r="191" spans="1:20" s="103" customFormat="1" ht="19.5" customHeight="1" x14ac:dyDescent="0.25">
      <c r="A191" s="59" t="s">
        <v>327</v>
      </c>
      <c r="B191" s="211" t="s">
        <v>178</v>
      </c>
      <c r="C191" s="250"/>
      <c r="D191" s="319" t="s">
        <v>409</v>
      </c>
      <c r="E191" s="224" t="s">
        <v>17</v>
      </c>
      <c r="F191" s="100" t="s">
        <v>328</v>
      </c>
      <c r="G191" s="274">
        <v>1</v>
      </c>
      <c r="H191" s="275">
        <v>1536</v>
      </c>
      <c r="I191" s="256"/>
      <c r="J191" s="252"/>
      <c r="K191" s="11">
        <f t="shared" si="45"/>
        <v>1536</v>
      </c>
      <c r="L191" s="248"/>
      <c r="M191" s="249"/>
      <c r="N191" s="65">
        <f>L191+M191</f>
        <v>0</v>
      </c>
      <c r="O191" s="188">
        <f t="shared" si="42"/>
        <v>0</v>
      </c>
      <c r="P191" s="67">
        <f t="shared" si="43"/>
        <v>0</v>
      </c>
      <c r="Q191" s="68">
        <f t="shared" si="44"/>
        <v>0</v>
      </c>
      <c r="R191" s="305"/>
      <c r="S191" s="291"/>
      <c r="T191" s="291"/>
    </row>
    <row r="192" spans="1:20" s="288" customFormat="1" ht="20.25" customHeight="1" x14ac:dyDescent="0.25">
      <c r="A192" s="432"/>
      <c r="B192" s="422"/>
      <c r="C192" s="423"/>
      <c r="D192" s="431" t="s">
        <v>415</v>
      </c>
      <c r="E192" s="369" t="s">
        <v>17</v>
      </c>
      <c r="F192" s="424"/>
      <c r="G192" s="425"/>
      <c r="H192" s="426"/>
      <c r="I192" s="426"/>
      <c r="J192" s="427"/>
      <c r="K192" s="457">
        <f t="shared" si="45"/>
        <v>0</v>
      </c>
      <c r="L192" s="428"/>
      <c r="M192" s="429"/>
      <c r="N192" s="383">
        <f t="shared" si="41"/>
        <v>0</v>
      </c>
      <c r="O192" s="384">
        <f t="shared" si="42"/>
        <v>0</v>
      </c>
      <c r="P192" s="385">
        <f t="shared" si="43"/>
        <v>0</v>
      </c>
      <c r="Q192" s="386">
        <f t="shared" si="44"/>
        <v>0</v>
      </c>
      <c r="R192" s="430"/>
      <c r="S192" s="366"/>
      <c r="T192" s="366"/>
    </row>
    <row r="193" spans="1:20" s="290" customFormat="1" ht="20.25" customHeight="1" x14ac:dyDescent="0.25">
      <c r="A193" s="436" t="s">
        <v>390</v>
      </c>
      <c r="B193" s="437" t="s">
        <v>177</v>
      </c>
      <c r="C193" s="460"/>
      <c r="D193" s="438" t="s">
        <v>403</v>
      </c>
      <c r="E193" s="439" t="s">
        <v>17</v>
      </c>
      <c r="F193" s="439" t="s">
        <v>20</v>
      </c>
      <c r="G193" s="439"/>
      <c r="H193" s="440">
        <f>74.68+36.97</f>
        <v>111.65</v>
      </c>
      <c r="I193" s="440"/>
      <c r="J193" s="441"/>
      <c r="K193" s="15">
        <f t="shared" si="45"/>
        <v>111.65</v>
      </c>
      <c r="L193" s="442"/>
      <c r="M193" s="443"/>
      <c r="N193" s="81">
        <f t="shared" si="41"/>
        <v>0</v>
      </c>
      <c r="O193" s="78">
        <f t="shared" si="42"/>
        <v>0</v>
      </c>
      <c r="P193" s="82">
        <f t="shared" si="43"/>
        <v>0</v>
      </c>
      <c r="Q193" s="58">
        <f t="shared" si="44"/>
        <v>0</v>
      </c>
      <c r="R193" s="444"/>
      <c r="S193" s="289"/>
      <c r="T193" s="289"/>
    </row>
    <row r="194" spans="1:20" s="103" customFormat="1" ht="28.5" customHeight="1" x14ac:dyDescent="0.25">
      <c r="A194" s="415" t="s">
        <v>396</v>
      </c>
      <c r="B194" s="416" t="s">
        <v>178</v>
      </c>
      <c r="C194" s="461"/>
      <c r="D194" s="433" t="s">
        <v>408</v>
      </c>
      <c r="E194" s="434" t="s">
        <v>17</v>
      </c>
      <c r="F194" s="434" t="s">
        <v>20</v>
      </c>
      <c r="G194" s="435">
        <v>1</v>
      </c>
      <c r="H194" s="417">
        <f>H193*G194</f>
        <v>111.65</v>
      </c>
      <c r="I194" s="417"/>
      <c r="J194" s="418"/>
      <c r="K194" s="11">
        <f>ROUND(K193*G194,2)</f>
        <v>111.65</v>
      </c>
      <c r="L194" s="419"/>
      <c r="M194" s="420"/>
      <c r="N194" s="65">
        <f t="shared" si="41"/>
        <v>0</v>
      </c>
      <c r="O194" s="188">
        <f t="shared" si="42"/>
        <v>0</v>
      </c>
      <c r="P194" s="67">
        <f t="shared" si="43"/>
        <v>0</v>
      </c>
      <c r="Q194" s="68">
        <f t="shared" si="44"/>
        <v>0</v>
      </c>
      <c r="R194" s="421"/>
      <c r="S194" s="291"/>
      <c r="T194" s="291"/>
    </row>
    <row r="195" spans="1:20" s="103" customFormat="1" ht="28.5" customHeight="1" x14ac:dyDescent="0.25">
      <c r="A195" s="415" t="s">
        <v>396</v>
      </c>
      <c r="B195" s="416" t="s">
        <v>178</v>
      </c>
      <c r="C195" s="461"/>
      <c r="D195" s="433" t="s">
        <v>402</v>
      </c>
      <c r="E195" s="434" t="s">
        <v>17</v>
      </c>
      <c r="F195" s="434" t="s">
        <v>20</v>
      </c>
      <c r="G195" s="435">
        <v>1.05</v>
      </c>
      <c r="H195" s="417">
        <f>H193*G195</f>
        <v>117.23250000000002</v>
      </c>
      <c r="I195" s="417"/>
      <c r="J195" s="418"/>
      <c r="K195" s="11">
        <f t="shared" ref="K195" si="46">H195+I195+J195</f>
        <v>117.23250000000002</v>
      </c>
      <c r="L195" s="419"/>
      <c r="M195" s="420"/>
      <c r="N195" s="65">
        <f>L195+M195</f>
        <v>0</v>
      </c>
      <c r="O195" s="188">
        <f t="shared" si="42"/>
        <v>0</v>
      </c>
      <c r="P195" s="67">
        <f t="shared" si="43"/>
        <v>0</v>
      </c>
      <c r="Q195" s="68">
        <f t="shared" si="44"/>
        <v>0</v>
      </c>
      <c r="R195" s="421"/>
      <c r="S195" s="291"/>
      <c r="T195" s="291"/>
    </row>
    <row r="196" spans="1:20" s="288" customFormat="1" ht="20.25" customHeight="1" x14ac:dyDescent="0.25">
      <c r="A196" s="367" t="s">
        <v>391</v>
      </c>
      <c r="B196" s="359" t="s">
        <v>405</v>
      </c>
      <c r="C196" s="360"/>
      <c r="D196" s="382" t="s">
        <v>386</v>
      </c>
      <c r="E196" s="361" t="s">
        <v>17</v>
      </c>
      <c r="F196" s="362" t="s">
        <v>392</v>
      </c>
      <c r="G196" s="363"/>
      <c r="H196" s="381">
        <v>1</v>
      </c>
      <c r="I196" s="381"/>
      <c r="J196" s="371"/>
      <c r="K196" s="457">
        <f>H196</f>
        <v>1</v>
      </c>
      <c r="L196" s="458"/>
      <c r="M196" s="364"/>
      <c r="N196" s="383">
        <f t="shared" si="41"/>
        <v>0</v>
      </c>
      <c r="O196" s="384">
        <f>L196*K196</f>
        <v>0</v>
      </c>
      <c r="P196" s="385">
        <f t="shared" si="43"/>
        <v>0</v>
      </c>
      <c r="Q196" s="386">
        <f t="shared" si="44"/>
        <v>0</v>
      </c>
      <c r="R196" s="365"/>
      <c r="S196" s="366"/>
      <c r="T196" s="366"/>
    </row>
    <row r="197" spans="1:20" s="375" customFormat="1" ht="22.5" customHeight="1" x14ac:dyDescent="0.2">
      <c r="A197" s="367" t="s">
        <v>397</v>
      </c>
      <c r="B197" s="368" t="s">
        <v>406</v>
      </c>
      <c r="C197" s="360"/>
      <c r="D197" s="376" t="s">
        <v>382</v>
      </c>
      <c r="E197" s="369" t="s">
        <v>17</v>
      </c>
      <c r="F197" s="362" t="s">
        <v>389</v>
      </c>
      <c r="G197" s="377"/>
      <c r="H197" s="377">
        <v>14</v>
      </c>
      <c r="I197" s="377"/>
      <c r="J197" s="377"/>
      <c r="K197" s="457">
        <v>14</v>
      </c>
      <c r="L197" s="459"/>
      <c r="M197" s="372"/>
      <c r="N197" s="383">
        <f>L197+M197</f>
        <v>0</v>
      </c>
      <c r="O197" s="384">
        <f t="shared" si="42"/>
        <v>0</v>
      </c>
      <c r="P197" s="385">
        <f t="shared" si="43"/>
        <v>0</v>
      </c>
      <c r="Q197" s="386">
        <f>O197+P197</f>
        <v>0</v>
      </c>
      <c r="R197" s="373"/>
      <c r="S197" s="374"/>
      <c r="T197" s="374"/>
    </row>
    <row r="198" spans="1:20" s="103" customFormat="1" ht="33.75" customHeight="1" x14ac:dyDescent="0.25">
      <c r="A198" s="352" t="s">
        <v>398</v>
      </c>
      <c r="B198" s="353"/>
      <c r="C198" s="354"/>
      <c r="D198" s="380" t="s">
        <v>384</v>
      </c>
      <c r="E198" s="61" t="s">
        <v>17</v>
      </c>
      <c r="F198" s="355" t="s">
        <v>389</v>
      </c>
      <c r="G198" s="378"/>
      <c r="H198" s="378">
        <v>14</v>
      </c>
      <c r="I198" s="378"/>
      <c r="J198" s="379"/>
      <c r="K198" s="521">
        <f>H198+I198+J198</f>
        <v>14</v>
      </c>
      <c r="L198" s="356"/>
      <c r="M198" s="357"/>
      <c r="N198" s="65"/>
      <c r="O198" s="188"/>
      <c r="P198" s="67"/>
      <c r="Q198" s="68"/>
      <c r="R198" s="358"/>
      <c r="S198" s="291"/>
      <c r="T198" s="291"/>
    </row>
    <row r="199" spans="1:20" s="103" customFormat="1" ht="20.25" customHeight="1" x14ac:dyDescent="0.25">
      <c r="A199" s="352" t="s">
        <v>399</v>
      </c>
      <c r="B199" s="353"/>
      <c r="C199" s="354"/>
      <c r="D199" s="387" t="s">
        <v>387</v>
      </c>
      <c r="E199" s="61" t="s">
        <v>17</v>
      </c>
      <c r="F199" s="355" t="s">
        <v>389</v>
      </c>
      <c r="G199" s="378"/>
      <c r="H199" s="378">
        <v>14</v>
      </c>
      <c r="I199" s="378"/>
      <c r="J199" s="379"/>
      <c r="K199" s="521">
        <f>H199+I199+J199</f>
        <v>14</v>
      </c>
      <c r="L199" s="356"/>
      <c r="M199" s="357"/>
      <c r="N199" s="65"/>
      <c r="O199" s="188"/>
      <c r="P199" s="67"/>
      <c r="Q199" s="68"/>
      <c r="R199" s="358"/>
      <c r="S199" s="291"/>
      <c r="T199" s="291"/>
    </row>
    <row r="200" spans="1:20" s="103" customFormat="1" ht="20.25" customHeight="1" x14ac:dyDescent="0.25">
      <c r="A200" s="352" t="s">
        <v>400</v>
      </c>
      <c r="B200" s="353"/>
      <c r="C200" s="354"/>
      <c r="D200" s="388" t="s">
        <v>385</v>
      </c>
      <c r="E200" s="61" t="s">
        <v>17</v>
      </c>
      <c r="F200" s="355" t="s">
        <v>389</v>
      </c>
      <c r="G200" s="378"/>
      <c r="H200" s="378">
        <v>14</v>
      </c>
      <c r="I200" s="378"/>
      <c r="J200" s="379"/>
      <c r="K200" s="521">
        <f t="shared" ref="K200:K201" si="47">H200+I200+J200</f>
        <v>14</v>
      </c>
      <c r="L200" s="356"/>
      <c r="M200" s="357"/>
      <c r="N200" s="65"/>
      <c r="O200" s="188"/>
      <c r="P200" s="67"/>
      <c r="Q200" s="68"/>
      <c r="R200" s="358"/>
      <c r="S200" s="291"/>
      <c r="T200" s="291"/>
    </row>
    <row r="201" spans="1:20" s="103" customFormat="1" ht="22.5" customHeight="1" x14ac:dyDescent="0.25">
      <c r="A201" s="352" t="s">
        <v>401</v>
      </c>
      <c r="B201" s="353"/>
      <c r="C201" s="354"/>
      <c r="D201" s="103" t="s">
        <v>388</v>
      </c>
      <c r="E201" s="61" t="s">
        <v>17</v>
      </c>
      <c r="F201" s="355" t="s">
        <v>389</v>
      </c>
      <c r="G201" s="378"/>
      <c r="H201" s="378">
        <v>14</v>
      </c>
      <c r="I201" s="378"/>
      <c r="J201" s="379"/>
      <c r="K201" s="521">
        <f t="shared" si="47"/>
        <v>14</v>
      </c>
      <c r="L201" s="356"/>
      <c r="M201" s="357"/>
      <c r="N201" s="65"/>
      <c r="O201" s="188"/>
      <c r="P201" s="67"/>
      <c r="Q201" s="68"/>
      <c r="R201" s="358"/>
      <c r="S201" s="291"/>
      <c r="T201" s="291"/>
    </row>
    <row r="202" spans="1:20" ht="15" customHeight="1" x14ac:dyDescent="0.25">
      <c r="A202" s="12"/>
      <c r="B202" s="215"/>
      <c r="C202" s="209"/>
      <c r="D202" s="1" t="s">
        <v>24</v>
      </c>
      <c r="E202" s="1"/>
      <c r="F202" s="1"/>
      <c r="G202" s="324"/>
      <c r="H202" s="462"/>
      <c r="I202" s="462"/>
      <c r="J202" s="462"/>
      <c r="K202" s="462"/>
      <c r="L202" s="462"/>
      <c r="M202" s="2"/>
      <c r="N202" s="2"/>
      <c r="O202" s="2"/>
      <c r="P202" s="2"/>
      <c r="Q202" s="5">
        <f>SUM(Q13:Q197)</f>
        <v>0</v>
      </c>
      <c r="R202" s="298"/>
    </row>
    <row r="203" spans="1:20" ht="26.25" customHeight="1" thickBot="1" x14ac:dyDescent="0.3">
      <c r="A203" s="107"/>
      <c r="B203" s="194"/>
      <c r="C203" s="108"/>
      <c r="D203" s="3" t="s">
        <v>26</v>
      </c>
      <c r="E203" s="3"/>
      <c r="F203" s="3"/>
      <c r="G203" s="325"/>
      <c r="H203" s="462"/>
      <c r="I203" s="462"/>
      <c r="J203" s="462"/>
      <c r="K203" s="462"/>
      <c r="L203" s="462"/>
      <c r="M203" s="4"/>
      <c r="N203" s="109"/>
      <c r="O203" s="109"/>
      <c r="P203" s="4"/>
      <c r="Q203" s="110">
        <f>Q202/1.22*0.22</f>
        <v>0</v>
      </c>
      <c r="R203" s="298"/>
    </row>
    <row r="204" spans="1:20" ht="19.5" customHeight="1" x14ac:dyDescent="0.25"/>
    <row r="205" spans="1:20" ht="19.5" customHeight="1" x14ac:dyDescent="0.25">
      <c r="A205" s="111" t="s">
        <v>25</v>
      </c>
      <c r="B205" s="111"/>
    </row>
    <row r="206" spans="1:20" s="113" customFormat="1" ht="40.5" customHeight="1" x14ac:dyDescent="0.25">
      <c r="A206" s="524" t="s">
        <v>176</v>
      </c>
      <c r="B206" s="524"/>
      <c r="C206" s="524"/>
      <c r="D206" s="524"/>
      <c r="E206" s="524"/>
      <c r="F206" s="524"/>
      <c r="G206" s="524"/>
      <c r="H206" s="524"/>
      <c r="I206" s="524"/>
      <c r="J206" s="524"/>
      <c r="K206" s="524"/>
      <c r="L206" s="524"/>
      <c r="M206" s="524"/>
      <c r="N206" s="524"/>
      <c r="O206" s="524"/>
      <c r="P206" s="524"/>
      <c r="Q206" s="524"/>
      <c r="R206" s="18"/>
      <c r="S206" s="18"/>
      <c r="T206" s="18"/>
    </row>
    <row r="207" spans="1:20" s="113" customFormat="1" ht="24" customHeight="1" x14ac:dyDescent="0.25">
      <c r="A207" s="525" t="s">
        <v>166</v>
      </c>
      <c r="B207" s="525"/>
      <c r="C207" s="525"/>
      <c r="D207" s="525"/>
      <c r="E207" s="525"/>
      <c r="F207" s="525"/>
      <c r="G207" s="525"/>
      <c r="H207" s="525"/>
      <c r="I207" s="525"/>
      <c r="J207" s="525"/>
      <c r="K207" s="525"/>
      <c r="L207" s="525"/>
      <c r="M207" s="525"/>
      <c r="N207" s="525"/>
      <c r="O207" s="525"/>
      <c r="P207" s="525"/>
      <c r="Q207" s="525"/>
      <c r="R207" s="18"/>
      <c r="S207" s="18"/>
      <c r="T207" s="18"/>
    </row>
    <row r="208" spans="1:20" s="113" customFormat="1" ht="42.75" customHeight="1" x14ac:dyDescent="0.25">
      <c r="A208" s="525" t="s">
        <v>167</v>
      </c>
      <c r="B208" s="525"/>
      <c r="C208" s="525"/>
      <c r="D208" s="525"/>
      <c r="E208" s="525"/>
      <c r="F208" s="525"/>
      <c r="G208" s="525"/>
      <c r="H208" s="525"/>
      <c r="I208" s="525"/>
      <c r="J208" s="525"/>
      <c r="K208" s="525"/>
      <c r="L208" s="525"/>
      <c r="M208" s="525"/>
      <c r="N208" s="525"/>
      <c r="O208" s="525"/>
      <c r="P208" s="525"/>
      <c r="Q208" s="525"/>
      <c r="R208" s="18"/>
      <c r="S208" s="18"/>
      <c r="T208" s="18"/>
    </row>
    <row r="209" spans="1:20" s="113" customFormat="1" ht="27.75" customHeight="1" x14ac:dyDescent="0.25">
      <c r="A209" s="525" t="s">
        <v>168</v>
      </c>
      <c r="B209" s="525"/>
      <c r="C209" s="525"/>
      <c r="D209" s="525"/>
      <c r="E209" s="525"/>
      <c r="F209" s="525"/>
      <c r="G209" s="525"/>
      <c r="H209" s="525"/>
      <c r="I209" s="525"/>
      <c r="J209" s="525"/>
      <c r="K209" s="525"/>
      <c r="L209" s="525"/>
      <c r="M209" s="525"/>
      <c r="N209" s="525"/>
      <c r="O209" s="525"/>
      <c r="P209" s="525"/>
      <c r="Q209" s="525"/>
      <c r="R209" s="18"/>
      <c r="S209" s="18"/>
      <c r="T209" s="18"/>
    </row>
    <row r="210" spans="1:20" s="182" customFormat="1" ht="21" customHeight="1" x14ac:dyDescent="0.25">
      <c r="A210" s="526" t="s">
        <v>169</v>
      </c>
      <c r="B210" s="526"/>
      <c r="C210" s="526"/>
      <c r="D210" s="526"/>
      <c r="E210" s="526"/>
      <c r="F210" s="526"/>
      <c r="G210" s="526"/>
      <c r="H210" s="526"/>
      <c r="I210" s="526"/>
      <c r="J210" s="526"/>
      <c r="K210" s="526"/>
      <c r="L210" s="526"/>
      <c r="M210" s="526"/>
      <c r="N210" s="526"/>
      <c r="O210" s="526"/>
      <c r="P210" s="526"/>
      <c r="Q210" s="526"/>
      <c r="R210" s="526"/>
      <c r="S210" s="317"/>
      <c r="T210" s="317"/>
    </row>
    <row r="211" spans="1:20" s="182" customFormat="1" ht="25.5" customHeight="1" x14ac:dyDescent="0.25">
      <c r="A211" s="190" t="s">
        <v>175</v>
      </c>
      <c r="B211" s="190"/>
      <c r="C211" s="181"/>
      <c r="G211" s="243"/>
      <c r="R211" s="318"/>
      <c r="S211" s="317"/>
      <c r="T211" s="317"/>
    </row>
    <row r="214" spans="1:20" s="398" customFormat="1" ht="15.75" x14ac:dyDescent="0.25">
      <c r="A214" s="392" t="s">
        <v>123</v>
      </c>
      <c r="B214" s="392"/>
      <c r="C214" s="393"/>
      <c r="D214" s="392"/>
      <c r="E214" s="393"/>
      <c r="F214" s="394"/>
      <c r="G214" s="395"/>
      <c r="H214" s="394"/>
      <c r="I214" s="394"/>
      <c r="J214" s="394"/>
      <c r="K214" s="394"/>
      <c r="L214" s="396"/>
      <c r="M214" s="394"/>
      <c r="N214" s="397"/>
      <c r="O214" s="397"/>
      <c r="R214" s="399"/>
      <c r="S214" s="400"/>
      <c r="T214" s="400"/>
    </row>
    <row r="215" spans="1:20" s="403" customFormat="1" ht="15.75" x14ac:dyDescent="0.25">
      <c r="A215" s="401" t="s">
        <v>124</v>
      </c>
      <c r="B215" s="401"/>
      <c r="C215" s="402"/>
      <c r="E215" s="402"/>
      <c r="F215" s="404"/>
      <c r="G215" s="404"/>
      <c r="H215" s="404"/>
      <c r="I215" s="404"/>
      <c r="J215" s="404"/>
      <c r="K215" s="404"/>
      <c r="L215" s="404"/>
      <c r="M215" s="404"/>
      <c r="N215" s="404"/>
      <c r="O215" s="404"/>
      <c r="R215" s="405"/>
      <c r="S215" s="406"/>
      <c r="T215" s="406"/>
    </row>
    <row r="216" spans="1:20" s="403" customFormat="1" ht="15.75" x14ac:dyDescent="0.25">
      <c r="A216" s="401" t="s">
        <v>125</v>
      </c>
      <c r="B216" s="401"/>
      <c r="C216" s="407"/>
      <c r="D216" s="401"/>
      <c r="E216" s="407"/>
      <c r="F216" s="395"/>
      <c r="G216" s="395"/>
      <c r="H216" s="395"/>
      <c r="I216" s="395"/>
      <c r="J216" s="395"/>
      <c r="K216" s="395"/>
      <c r="L216" s="408"/>
      <c r="M216" s="395"/>
      <c r="N216" s="404"/>
      <c r="O216" s="404"/>
      <c r="R216" s="405"/>
      <c r="S216" s="406"/>
      <c r="T216" s="406"/>
    </row>
    <row r="217" spans="1:20" s="403" customFormat="1" ht="15.75" x14ac:dyDescent="0.25">
      <c r="A217" s="409" t="s">
        <v>126</v>
      </c>
      <c r="B217" s="409"/>
      <c r="C217" s="410"/>
      <c r="D217" s="409"/>
      <c r="E217" s="407"/>
      <c r="F217" s="395"/>
      <c r="G217" s="395"/>
      <c r="H217" s="395"/>
      <c r="I217" s="395"/>
      <c r="J217" s="395"/>
      <c r="K217" s="395"/>
      <c r="L217" s="408"/>
      <c r="M217" s="395"/>
      <c r="N217" s="404"/>
      <c r="O217" s="404"/>
      <c r="R217" s="405"/>
      <c r="S217" s="406"/>
      <c r="T217" s="406"/>
    </row>
    <row r="218" spans="1:20" s="403" customFormat="1" ht="15.75" x14ac:dyDescent="0.25">
      <c r="A218" s="409" t="s">
        <v>127</v>
      </c>
      <c r="B218" s="409"/>
      <c r="C218" s="410"/>
      <c r="D218" s="409"/>
      <c r="E218" s="407"/>
      <c r="F218" s="395"/>
      <c r="G218" s="395"/>
      <c r="H218" s="395"/>
      <c r="I218" s="395"/>
      <c r="J218" s="395"/>
      <c r="K218" s="395"/>
      <c r="L218" s="408"/>
      <c r="M218" s="395"/>
      <c r="N218" s="404"/>
      <c r="O218" s="404"/>
      <c r="R218" s="405"/>
      <c r="S218" s="406"/>
      <c r="T218" s="406"/>
    </row>
    <row r="219" spans="1:20" s="403" customFormat="1" ht="20.25" customHeight="1" x14ac:dyDescent="0.25">
      <c r="A219" s="523" t="s">
        <v>410</v>
      </c>
      <c r="B219" s="523"/>
      <c r="C219" s="523"/>
      <c r="D219" s="523"/>
      <c r="E219" s="407"/>
      <c r="F219" s="395"/>
      <c r="G219" s="395"/>
      <c r="H219" s="395"/>
      <c r="I219" s="395"/>
      <c r="J219" s="395"/>
      <c r="K219" s="395"/>
      <c r="L219" s="408"/>
      <c r="M219" s="395"/>
      <c r="N219" s="404"/>
      <c r="O219" s="404"/>
      <c r="R219" s="405"/>
      <c r="S219" s="406"/>
      <c r="T219" s="406"/>
    </row>
    <row r="220" spans="1:20" s="403" customFormat="1" ht="19.5" customHeight="1" x14ac:dyDescent="0.25">
      <c r="A220" s="523" t="s">
        <v>395</v>
      </c>
      <c r="B220" s="523"/>
      <c r="C220" s="523"/>
      <c r="D220" s="523"/>
      <c r="E220" s="411"/>
      <c r="F220" s="395"/>
      <c r="G220" s="395"/>
      <c r="H220" s="395"/>
      <c r="I220" s="395"/>
      <c r="J220" s="395"/>
      <c r="K220" s="395"/>
      <c r="L220" s="408"/>
      <c r="M220" s="395"/>
      <c r="N220" s="404"/>
      <c r="O220" s="404"/>
      <c r="R220" s="405"/>
      <c r="S220" s="406"/>
      <c r="T220" s="406"/>
    </row>
    <row r="221" spans="1:20" s="403" customFormat="1" ht="19.5" customHeight="1" x14ac:dyDescent="0.25">
      <c r="A221" s="409" t="s">
        <v>394</v>
      </c>
      <c r="B221" s="445"/>
      <c r="C221" s="445"/>
      <c r="D221" s="445"/>
      <c r="E221" s="411"/>
      <c r="F221" s="395"/>
      <c r="G221" s="395"/>
      <c r="H221" s="395"/>
      <c r="I221" s="395"/>
      <c r="J221" s="395"/>
      <c r="K221" s="395"/>
      <c r="L221" s="408"/>
      <c r="M221" s="395"/>
      <c r="N221" s="404"/>
      <c r="O221" s="404"/>
      <c r="R221" s="405"/>
      <c r="S221" s="406"/>
      <c r="T221" s="406"/>
    </row>
    <row r="222" spans="1:20" s="403" customFormat="1" ht="15.75" x14ac:dyDescent="0.25">
      <c r="A222" s="409" t="s">
        <v>128</v>
      </c>
      <c r="B222" s="409"/>
      <c r="C222" s="410"/>
      <c r="D222" s="409"/>
      <c r="E222" s="407"/>
      <c r="F222" s="395"/>
      <c r="G222" s="395"/>
      <c r="H222" s="395"/>
      <c r="I222" s="395"/>
      <c r="J222" s="395"/>
      <c r="K222" s="395"/>
      <c r="L222" s="408"/>
      <c r="M222" s="395"/>
      <c r="N222" s="404"/>
      <c r="O222" s="404"/>
      <c r="R222" s="405"/>
      <c r="S222" s="406"/>
      <c r="T222" s="406"/>
    </row>
    <row r="223" spans="1:20" s="403" customFormat="1" ht="15.75" x14ac:dyDescent="0.25">
      <c r="A223" s="409" t="s">
        <v>129</v>
      </c>
      <c r="B223" s="409"/>
      <c r="C223" s="410"/>
      <c r="D223" s="409"/>
      <c r="E223" s="407"/>
      <c r="F223" s="395"/>
      <c r="G223" s="395"/>
      <c r="H223" s="395"/>
      <c r="I223" s="395"/>
      <c r="J223" s="395"/>
      <c r="K223" s="395"/>
      <c r="L223" s="395"/>
      <c r="M223" s="395"/>
      <c r="N223" s="404"/>
      <c r="O223" s="404"/>
      <c r="R223" s="405"/>
      <c r="S223" s="406"/>
      <c r="T223" s="406"/>
    </row>
    <row r="224" spans="1:20" s="403" customFormat="1" ht="15.75" x14ac:dyDescent="0.25">
      <c r="A224" s="409" t="s">
        <v>130</v>
      </c>
      <c r="B224" s="409"/>
      <c r="C224" s="410"/>
      <c r="D224" s="409"/>
      <c r="E224" s="407"/>
      <c r="F224" s="395"/>
      <c r="G224" s="395"/>
      <c r="H224" s="395"/>
      <c r="I224" s="395"/>
      <c r="J224" s="395"/>
      <c r="K224" s="395"/>
      <c r="L224" s="395"/>
      <c r="M224" s="395"/>
      <c r="N224" s="404"/>
      <c r="O224" s="404"/>
      <c r="R224" s="405"/>
      <c r="S224" s="406"/>
      <c r="T224" s="406"/>
    </row>
    <row r="225" spans="1:20" s="403" customFormat="1" ht="15.75" x14ac:dyDescent="0.25">
      <c r="A225" s="409" t="s">
        <v>131</v>
      </c>
      <c r="B225" s="409"/>
      <c r="C225" s="410"/>
      <c r="D225" s="409"/>
      <c r="E225" s="407"/>
      <c r="F225" s="395"/>
      <c r="G225" s="395"/>
      <c r="H225" s="395"/>
      <c r="I225" s="395"/>
      <c r="J225" s="395"/>
      <c r="K225" s="395"/>
      <c r="L225" s="408"/>
      <c r="M225" s="395"/>
      <c r="N225" s="404"/>
      <c r="O225" s="404"/>
      <c r="R225" s="405"/>
      <c r="S225" s="406"/>
      <c r="T225" s="406"/>
    </row>
    <row r="226" spans="1:20" s="402" customFormat="1" ht="15.75" x14ac:dyDescent="0.25">
      <c r="A226" s="409" t="s">
        <v>132</v>
      </c>
      <c r="B226" s="409"/>
      <c r="C226" s="410"/>
      <c r="D226" s="410"/>
      <c r="E226" s="407"/>
      <c r="F226" s="395"/>
      <c r="G226" s="395"/>
      <c r="H226" s="395"/>
      <c r="I226" s="395"/>
      <c r="J226" s="395"/>
      <c r="K226" s="395"/>
      <c r="L226" s="395"/>
      <c r="M226" s="395"/>
      <c r="N226" s="404"/>
      <c r="O226" s="404"/>
      <c r="R226" s="413"/>
      <c r="S226" s="414"/>
      <c r="T226" s="414"/>
    </row>
    <row r="227" spans="1:20" s="402" customFormat="1" ht="15.75" x14ac:dyDescent="0.25">
      <c r="A227" s="409" t="s">
        <v>133</v>
      </c>
      <c r="B227" s="409"/>
      <c r="C227" s="410"/>
      <c r="D227" s="410"/>
      <c r="E227" s="407"/>
      <c r="F227" s="395"/>
      <c r="G227" s="395"/>
      <c r="H227" s="395"/>
      <c r="I227" s="395"/>
      <c r="J227" s="395"/>
      <c r="K227" s="395"/>
      <c r="L227" s="395"/>
      <c r="M227" s="395"/>
      <c r="N227" s="404"/>
      <c r="O227" s="404"/>
      <c r="R227" s="413"/>
      <c r="S227" s="414"/>
      <c r="T227" s="414"/>
    </row>
    <row r="228" spans="1:20" s="403" customFormat="1" ht="15.75" x14ac:dyDescent="0.25">
      <c r="A228" s="409" t="s">
        <v>134</v>
      </c>
      <c r="B228" s="409"/>
      <c r="C228" s="410"/>
      <c r="D228" s="409"/>
      <c r="E228" s="407"/>
      <c r="F228" s="395"/>
      <c r="G228" s="395"/>
      <c r="H228" s="395"/>
      <c r="I228" s="395"/>
      <c r="J228" s="395"/>
      <c r="K228" s="395"/>
      <c r="L228" s="408"/>
      <c r="M228" s="395"/>
      <c r="N228" s="404"/>
      <c r="O228" s="404"/>
      <c r="R228" s="405"/>
      <c r="S228" s="406"/>
      <c r="T228" s="406"/>
    </row>
    <row r="229" spans="1:20" s="403" customFormat="1" ht="15.75" x14ac:dyDescent="0.25">
      <c r="A229" s="409" t="s">
        <v>135</v>
      </c>
      <c r="B229" s="409"/>
      <c r="C229" s="410"/>
      <c r="D229" s="409"/>
      <c r="E229" s="407"/>
      <c r="F229" s="395"/>
      <c r="G229" s="395"/>
      <c r="H229" s="395"/>
      <c r="I229" s="395"/>
      <c r="J229" s="395"/>
      <c r="K229" s="395"/>
      <c r="L229" s="395"/>
      <c r="M229" s="395"/>
      <c r="N229" s="404"/>
      <c r="O229" s="404"/>
      <c r="R229" s="405"/>
      <c r="S229" s="406"/>
      <c r="T229" s="406"/>
    </row>
    <row r="230" spans="1:20" s="403" customFormat="1" ht="15.75" x14ac:dyDescent="0.25">
      <c r="A230" s="409" t="s">
        <v>136</v>
      </c>
      <c r="B230" s="409"/>
      <c r="C230" s="410"/>
      <c r="D230" s="409"/>
      <c r="E230" s="407"/>
      <c r="F230" s="395"/>
      <c r="G230" s="395"/>
      <c r="H230" s="395"/>
      <c r="I230" s="395"/>
      <c r="J230" s="395"/>
      <c r="K230" s="395"/>
      <c r="L230" s="408"/>
      <c r="M230" s="395"/>
      <c r="N230" s="404"/>
      <c r="O230" s="404"/>
      <c r="R230" s="405"/>
      <c r="S230" s="406"/>
      <c r="T230" s="406"/>
    </row>
    <row r="231" spans="1:20" s="403" customFormat="1" ht="15.75" x14ac:dyDescent="0.25">
      <c r="A231" s="409" t="s">
        <v>137</v>
      </c>
      <c r="B231" s="409"/>
      <c r="C231" s="410"/>
      <c r="D231" s="409"/>
      <c r="E231" s="407"/>
      <c r="F231" s="395"/>
      <c r="G231" s="395"/>
      <c r="H231" s="395"/>
      <c r="I231" s="395"/>
      <c r="J231" s="395"/>
      <c r="K231" s="395"/>
      <c r="L231" s="395"/>
      <c r="M231" s="395"/>
      <c r="N231" s="404"/>
      <c r="O231" s="404"/>
      <c r="R231" s="405"/>
      <c r="S231" s="406"/>
      <c r="T231" s="406"/>
    </row>
    <row r="232" spans="1:20" s="403" customFormat="1" ht="15.75" x14ac:dyDescent="0.25">
      <c r="A232" s="409" t="s">
        <v>138</v>
      </c>
      <c r="B232" s="409"/>
      <c r="C232" s="410"/>
      <c r="D232" s="409"/>
      <c r="E232" s="407"/>
      <c r="F232" s="395"/>
      <c r="G232" s="395"/>
      <c r="H232" s="395"/>
      <c r="I232" s="395"/>
      <c r="J232" s="395"/>
      <c r="K232" s="395"/>
      <c r="L232" s="408"/>
      <c r="M232" s="395"/>
      <c r="N232" s="404"/>
      <c r="O232" s="404"/>
      <c r="R232" s="405"/>
      <c r="S232" s="406"/>
      <c r="T232" s="406"/>
    </row>
    <row r="233" spans="1:20" s="403" customFormat="1" ht="15.75" x14ac:dyDescent="0.25">
      <c r="A233" s="409" t="s">
        <v>139</v>
      </c>
      <c r="B233" s="409"/>
      <c r="C233" s="410"/>
      <c r="D233" s="409"/>
      <c r="E233" s="407"/>
      <c r="F233" s="395"/>
      <c r="G233" s="395"/>
      <c r="H233" s="395"/>
      <c r="I233" s="395"/>
      <c r="J233" s="395"/>
      <c r="K233" s="395"/>
      <c r="L233" s="408"/>
      <c r="M233" s="395"/>
      <c r="N233" s="404"/>
      <c r="O233" s="404"/>
      <c r="R233" s="405"/>
      <c r="S233" s="406"/>
      <c r="T233" s="406"/>
    </row>
    <row r="234" spans="1:20" s="403" customFormat="1" ht="15.75" x14ac:dyDescent="0.25">
      <c r="A234" s="409" t="s">
        <v>140</v>
      </c>
      <c r="B234" s="409"/>
      <c r="C234" s="410"/>
      <c r="D234" s="409"/>
      <c r="E234" s="407"/>
      <c r="F234" s="395"/>
      <c r="G234" s="395"/>
      <c r="H234" s="395"/>
      <c r="I234" s="395"/>
      <c r="J234" s="395"/>
      <c r="K234" s="395"/>
      <c r="L234" s="395"/>
      <c r="M234" s="395"/>
      <c r="N234" s="404"/>
      <c r="O234" s="404"/>
      <c r="R234" s="405"/>
      <c r="S234" s="406"/>
      <c r="T234" s="406"/>
    </row>
    <row r="235" spans="1:20" s="403" customFormat="1" ht="15.75" x14ac:dyDescent="0.25">
      <c r="A235" s="409" t="s">
        <v>141</v>
      </c>
      <c r="B235" s="409"/>
      <c r="C235" s="410"/>
      <c r="D235" s="409"/>
      <c r="E235" s="407"/>
      <c r="F235" s="395"/>
      <c r="G235" s="395"/>
      <c r="H235" s="395"/>
      <c r="I235" s="395"/>
      <c r="J235" s="395"/>
      <c r="K235" s="395"/>
      <c r="L235" s="395"/>
      <c r="M235" s="395"/>
      <c r="N235" s="404"/>
      <c r="O235" s="404"/>
      <c r="R235" s="405"/>
      <c r="S235" s="406"/>
      <c r="T235" s="406"/>
    </row>
    <row r="236" spans="1:20" s="403" customFormat="1" ht="15.75" x14ac:dyDescent="0.25">
      <c r="A236" s="409" t="s">
        <v>142</v>
      </c>
      <c r="B236" s="409"/>
      <c r="C236" s="410"/>
      <c r="D236" s="409"/>
      <c r="E236" s="407"/>
      <c r="F236" s="395"/>
      <c r="G236" s="395"/>
      <c r="H236" s="395"/>
      <c r="I236" s="395"/>
      <c r="J236" s="395"/>
      <c r="K236" s="395"/>
      <c r="L236" s="395"/>
      <c r="M236" s="395"/>
      <c r="N236" s="404"/>
      <c r="O236" s="404"/>
      <c r="R236" s="405"/>
      <c r="S236" s="406"/>
      <c r="T236" s="406"/>
    </row>
    <row r="237" spans="1:20" s="403" customFormat="1" ht="15.75" x14ac:dyDescent="0.25">
      <c r="A237" s="409" t="s">
        <v>143</v>
      </c>
      <c r="B237" s="409"/>
      <c r="C237" s="410"/>
      <c r="D237" s="409"/>
      <c r="E237" s="407"/>
      <c r="F237" s="395"/>
      <c r="G237" s="395"/>
      <c r="H237" s="395"/>
      <c r="I237" s="395"/>
      <c r="J237" s="395"/>
      <c r="K237" s="395"/>
      <c r="L237" s="395"/>
      <c r="M237" s="395"/>
      <c r="N237" s="404"/>
      <c r="O237" s="404"/>
      <c r="R237" s="405"/>
      <c r="S237" s="406"/>
      <c r="T237" s="406"/>
    </row>
    <row r="238" spans="1:20" s="403" customFormat="1" ht="15.75" x14ac:dyDescent="0.25">
      <c r="A238" s="409" t="s">
        <v>144</v>
      </c>
      <c r="B238" s="409"/>
      <c r="C238" s="410"/>
      <c r="D238" s="409"/>
      <c r="E238" s="407"/>
      <c r="F238" s="395"/>
      <c r="G238" s="395"/>
      <c r="H238" s="395"/>
      <c r="I238" s="395"/>
      <c r="J238" s="395"/>
      <c r="K238" s="395"/>
      <c r="L238" s="395"/>
      <c r="M238" s="395"/>
      <c r="N238" s="404"/>
      <c r="O238" s="404"/>
      <c r="R238" s="405"/>
      <c r="S238" s="406"/>
      <c r="T238" s="406"/>
    </row>
    <row r="239" spans="1:20" s="403" customFormat="1" ht="15.75" x14ac:dyDescent="0.25">
      <c r="A239" s="409" t="s">
        <v>145</v>
      </c>
      <c r="B239" s="409"/>
      <c r="C239" s="410"/>
      <c r="D239" s="409"/>
      <c r="E239" s="407"/>
      <c r="F239" s="395"/>
      <c r="G239" s="395"/>
      <c r="H239" s="395"/>
      <c r="I239" s="395"/>
      <c r="J239" s="395"/>
      <c r="K239" s="395"/>
      <c r="L239" s="395"/>
      <c r="M239" s="395"/>
      <c r="N239" s="404"/>
      <c r="O239" s="404"/>
      <c r="R239" s="405"/>
      <c r="S239" s="406"/>
      <c r="T239" s="406"/>
    </row>
    <row r="240" spans="1:20" s="403" customFormat="1" ht="15.75" x14ac:dyDescent="0.25">
      <c r="A240" s="409" t="s">
        <v>146</v>
      </c>
      <c r="B240" s="409"/>
      <c r="C240" s="410"/>
      <c r="D240" s="409"/>
      <c r="E240" s="407"/>
      <c r="F240" s="395"/>
      <c r="G240" s="395"/>
      <c r="H240" s="395"/>
      <c r="I240" s="395"/>
      <c r="J240" s="395"/>
      <c r="K240" s="395"/>
      <c r="L240" s="395"/>
      <c r="M240" s="395"/>
      <c r="N240" s="404"/>
      <c r="O240" s="404"/>
      <c r="R240" s="405"/>
      <c r="S240" s="406"/>
      <c r="T240" s="406"/>
    </row>
    <row r="241" spans="1:20" s="403" customFormat="1" ht="15.75" x14ac:dyDescent="0.25">
      <c r="A241" s="409" t="s">
        <v>147</v>
      </c>
      <c r="B241" s="409"/>
      <c r="C241" s="410"/>
      <c r="D241" s="409"/>
      <c r="E241" s="407"/>
      <c r="F241" s="395"/>
      <c r="G241" s="395"/>
      <c r="H241" s="395"/>
      <c r="I241" s="395"/>
      <c r="J241" s="395"/>
      <c r="K241" s="395"/>
      <c r="L241" s="395"/>
      <c r="M241" s="395"/>
      <c r="N241" s="404"/>
      <c r="O241" s="404"/>
      <c r="R241" s="405"/>
      <c r="S241" s="406"/>
      <c r="T241" s="406"/>
    </row>
    <row r="242" spans="1:20" s="120" customFormat="1" ht="15.75" x14ac:dyDescent="0.25">
      <c r="A242" s="116" t="s">
        <v>148</v>
      </c>
      <c r="B242" s="116"/>
      <c r="C242" s="126"/>
      <c r="D242" s="125"/>
      <c r="E242" s="122"/>
      <c r="F242" s="123"/>
      <c r="G242" s="123"/>
      <c r="H242" s="123"/>
      <c r="I242" s="123"/>
      <c r="J242" s="123"/>
      <c r="K242" s="123"/>
      <c r="L242" s="123"/>
      <c r="M242" s="123"/>
      <c r="N242" s="121"/>
      <c r="O242" s="121"/>
      <c r="R242" s="168"/>
      <c r="S242" s="169"/>
      <c r="T242" s="169"/>
    </row>
    <row r="243" spans="1:20" s="120" customFormat="1" ht="15.75" x14ac:dyDescent="0.25">
      <c r="A243" s="125" t="s">
        <v>149</v>
      </c>
      <c r="B243" s="125"/>
      <c r="C243" s="126"/>
      <c r="D243" s="125"/>
      <c r="E243" s="122"/>
      <c r="F243" s="123"/>
      <c r="G243" s="123"/>
      <c r="H243" s="123"/>
      <c r="I243" s="123"/>
      <c r="J243" s="123"/>
      <c r="K243" s="123"/>
      <c r="L243" s="123"/>
      <c r="M243" s="123"/>
      <c r="N243" s="121"/>
      <c r="O243" s="121"/>
      <c r="R243" s="168"/>
      <c r="S243" s="169"/>
      <c r="T243" s="169"/>
    </row>
    <row r="244" spans="1:20" s="120" customFormat="1" ht="15.75" x14ac:dyDescent="0.25">
      <c r="A244" s="125" t="s">
        <v>150</v>
      </c>
      <c r="B244" s="125"/>
      <c r="C244" s="126"/>
      <c r="D244" s="125"/>
      <c r="E244" s="122"/>
      <c r="F244" s="123"/>
      <c r="G244" s="123"/>
      <c r="H244" s="123"/>
      <c r="I244" s="123"/>
      <c r="J244" s="123"/>
      <c r="K244" s="123"/>
      <c r="L244" s="123"/>
      <c r="M244" s="123"/>
      <c r="N244" s="121"/>
      <c r="O244" s="121"/>
      <c r="R244" s="168"/>
      <c r="S244" s="169"/>
      <c r="T244" s="169"/>
    </row>
    <row r="245" spans="1:20" s="120" customFormat="1" ht="15.75" x14ac:dyDescent="0.25">
      <c r="A245" s="125" t="s">
        <v>151</v>
      </c>
      <c r="B245" s="125"/>
      <c r="C245" s="126"/>
      <c r="D245" s="125"/>
      <c r="E245" s="122"/>
      <c r="F245" s="123"/>
      <c r="G245" s="123"/>
      <c r="H245" s="123"/>
      <c r="I245" s="123"/>
      <c r="J245" s="123"/>
      <c r="K245" s="123"/>
      <c r="L245" s="123"/>
      <c r="M245" s="123"/>
      <c r="N245" s="121"/>
      <c r="O245" s="121"/>
      <c r="R245" s="168"/>
      <c r="S245" s="169"/>
      <c r="T245" s="169"/>
    </row>
    <row r="246" spans="1:20" s="120" customFormat="1" ht="15.75" x14ac:dyDescent="0.25">
      <c r="A246" s="125" t="s">
        <v>152</v>
      </c>
      <c r="B246" s="125"/>
      <c r="C246" s="126"/>
      <c r="D246" s="125"/>
      <c r="E246" s="122"/>
      <c r="F246" s="123"/>
      <c r="G246" s="123"/>
      <c r="H246" s="123"/>
      <c r="I246" s="123"/>
      <c r="J246" s="123"/>
      <c r="K246" s="123"/>
      <c r="L246" s="123"/>
      <c r="M246" s="123"/>
      <c r="N246" s="121"/>
      <c r="O246" s="121"/>
      <c r="R246" s="168"/>
      <c r="S246" s="169"/>
      <c r="T246" s="169"/>
    </row>
    <row r="247" spans="1:20" s="120" customFormat="1" ht="15.75" x14ac:dyDescent="0.25">
      <c r="A247" s="125" t="s">
        <v>153</v>
      </c>
      <c r="B247" s="125"/>
      <c r="C247" s="126"/>
      <c r="D247" s="125"/>
      <c r="E247" s="122"/>
      <c r="F247" s="123"/>
      <c r="G247" s="123"/>
      <c r="H247" s="123"/>
      <c r="I247" s="123"/>
      <c r="J247" s="123"/>
      <c r="K247" s="123"/>
      <c r="L247" s="123"/>
      <c r="M247" s="123"/>
      <c r="N247" s="121"/>
      <c r="O247" s="121"/>
      <c r="R247" s="168"/>
      <c r="S247" s="169"/>
      <c r="T247" s="169"/>
    </row>
    <row r="248" spans="1:20" s="120" customFormat="1" ht="15.75" x14ac:dyDescent="0.25">
      <c r="A248" s="125" t="s">
        <v>154</v>
      </c>
      <c r="B248" s="125"/>
      <c r="C248" s="126"/>
      <c r="D248" s="125"/>
      <c r="E248" s="122"/>
      <c r="F248" s="123"/>
      <c r="G248" s="123"/>
      <c r="H248" s="123"/>
      <c r="I248" s="123"/>
      <c r="J248" s="123"/>
      <c r="K248" s="123"/>
      <c r="L248" s="123"/>
      <c r="M248" s="123"/>
      <c r="N248" s="121"/>
      <c r="O248" s="121"/>
      <c r="R248" s="168"/>
      <c r="S248" s="169"/>
      <c r="T248" s="169"/>
    </row>
    <row r="249" spans="1:20" s="120" customFormat="1" ht="15.75" x14ac:dyDescent="0.25">
      <c r="A249" s="125" t="s">
        <v>155</v>
      </c>
      <c r="B249" s="125"/>
      <c r="C249" s="126"/>
      <c r="D249" s="125"/>
      <c r="E249" s="122"/>
      <c r="F249" s="123"/>
      <c r="G249" s="123"/>
      <c r="H249" s="123"/>
      <c r="I249" s="123"/>
      <c r="J249" s="123"/>
      <c r="K249" s="123"/>
      <c r="L249" s="123"/>
      <c r="M249" s="123"/>
      <c r="N249" s="121"/>
      <c r="O249" s="121"/>
      <c r="R249" s="168"/>
      <c r="S249" s="169"/>
      <c r="T249" s="169"/>
    </row>
    <row r="250" spans="1:20" s="119" customFormat="1" ht="15.75" x14ac:dyDescent="0.25">
      <c r="A250" s="125" t="s">
        <v>156</v>
      </c>
      <c r="B250" s="125"/>
      <c r="C250" s="126"/>
      <c r="D250" s="126"/>
      <c r="E250" s="122"/>
      <c r="F250" s="123"/>
      <c r="G250" s="123"/>
      <c r="H250" s="123"/>
      <c r="I250" s="123"/>
      <c r="J250" s="123"/>
      <c r="K250" s="123"/>
      <c r="L250" s="123"/>
      <c r="M250" s="123"/>
      <c r="N250" s="121"/>
      <c r="O250" s="121"/>
      <c r="R250" s="170"/>
      <c r="S250" s="171"/>
      <c r="T250" s="171"/>
    </row>
    <row r="251" spans="1:20" s="120" customFormat="1" ht="15.75" x14ac:dyDescent="0.25">
      <c r="A251" s="116" t="s">
        <v>157</v>
      </c>
      <c r="B251" s="116"/>
      <c r="C251" s="126"/>
      <c r="D251" s="116"/>
      <c r="E251" s="117"/>
      <c r="F251" s="123"/>
      <c r="G251" s="123"/>
      <c r="H251" s="123"/>
      <c r="I251" s="123"/>
      <c r="J251" s="123"/>
      <c r="K251" s="123"/>
      <c r="L251" s="124"/>
      <c r="M251" s="123"/>
      <c r="N251" s="121"/>
      <c r="O251" s="121"/>
      <c r="R251" s="168"/>
      <c r="S251" s="169"/>
      <c r="T251" s="169"/>
    </row>
    <row r="252" spans="1:20" s="120" customFormat="1" ht="15.75" x14ac:dyDescent="0.25">
      <c r="A252" s="125" t="s">
        <v>158</v>
      </c>
      <c r="B252" s="125"/>
      <c r="C252" s="126"/>
      <c r="D252" s="125"/>
      <c r="E252" s="122"/>
      <c r="F252" s="123"/>
      <c r="G252" s="123"/>
      <c r="H252" s="123"/>
      <c r="I252" s="123"/>
      <c r="J252" s="123"/>
      <c r="K252" s="123"/>
      <c r="L252" s="124"/>
      <c r="M252" s="123"/>
      <c r="N252" s="121"/>
      <c r="O252" s="121"/>
      <c r="R252" s="168"/>
      <c r="S252" s="169"/>
      <c r="T252" s="169"/>
    </row>
    <row r="253" spans="1:20" s="120" customFormat="1" ht="15.75" x14ac:dyDescent="0.25">
      <c r="A253" s="125" t="s">
        <v>159</v>
      </c>
      <c r="B253" s="125"/>
      <c r="C253" s="126"/>
      <c r="D253" s="125"/>
      <c r="E253" s="122"/>
      <c r="F253" s="123"/>
      <c r="G253" s="123"/>
      <c r="H253" s="123"/>
      <c r="I253" s="123"/>
      <c r="J253" s="123"/>
      <c r="K253" s="123"/>
      <c r="L253" s="123"/>
      <c r="M253" s="123"/>
      <c r="N253" s="121"/>
      <c r="O253" s="121"/>
      <c r="R253" s="168"/>
      <c r="S253" s="169"/>
      <c r="T253" s="169"/>
    </row>
    <row r="254" spans="1:20" s="120" customFormat="1" ht="15.75" x14ac:dyDescent="0.25">
      <c r="A254" s="125" t="s">
        <v>160</v>
      </c>
      <c r="B254" s="125"/>
      <c r="C254" s="122"/>
      <c r="D254" s="118"/>
      <c r="E254" s="122"/>
      <c r="F254" s="123"/>
      <c r="G254" s="123"/>
      <c r="H254" s="123"/>
      <c r="I254" s="123"/>
      <c r="J254" s="123"/>
      <c r="K254" s="123"/>
      <c r="L254" s="124"/>
      <c r="M254" s="123"/>
      <c r="N254" s="121"/>
      <c r="O254" s="121"/>
      <c r="R254" s="168"/>
      <c r="S254" s="169"/>
      <c r="T254" s="169"/>
    </row>
    <row r="255" spans="1:20" s="120" customFormat="1" ht="15.75" x14ac:dyDescent="0.25">
      <c r="C255" s="119"/>
      <c r="E255" s="119"/>
      <c r="F255" s="121"/>
      <c r="G255" s="121"/>
      <c r="H255" s="121"/>
      <c r="I255" s="121"/>
      <c r="J255" s="121"/>
      <c r="K255" s="121"/>
      <c r="L255" s="127"/>
      <c r="M255" s="121"/>
      <c r="N255" s="121"/>
      <c r="O255" s="121"/>
      <c r="R255" s="168"/>
      <c r="S255" s="169"/>
      <c r="T255" s="169"/>
    </row>
    <row r="256" spans="1:20" s="133" customFormat="1" ht="15.75" x14ac:dyDescent="0.25">
      <c r="A256" s="128" t="s">
        <v>161</v>
      </c>
      <c r="B256" s="128"/>
      <c r="C256" s="129"/>
      <c r="D256" s="130"/>
      <c r="E256" s="129"/>
      <c r="F256" s="131"/>
      <c r="G256" s="132"/>
      <c r="H256" s="131"/>
      <c r="I256" s="131"/>
      <c r="J256" s="131"/>
      <c r="K256" s="131"/>
      <c r="L256" s="132"/>
      <c r="M256" s="132"/>
      <c r="N256" s="132"/>
      <c r="O256" s="132"/>
      <c r="R256" s="172"/>
      <c r="S256" s="173"/>
      <c r="T256" s="173"/>
    </row>
    <row r="257" spans="3:20" s="135" customFormat="1" ht="15.75" x14ac:dyDescent="0.25">
      <c r="C257" s="134"/>
      <c r="E257" s="134"/>
      <c r="F257" s="136"/>
      <c r="G257" s="136"/>
      <c r="H257" s="136"/>
      <c r="I257" s="136"/>
      <c r="J257" s="136"/>
      <c r="K257" s="136"/>
      <c r="L257" s="137"/>
      <c r="M257" s="136"/>
      <c r="N257" s="136"/>
      <c r="O257" s="136"/>
      <c r="R257" s="174"/>
      <c r="S257" s="175"/>
      <c r="T257" s="175"/>
    </row>
  </sheetData>
  <sheetProtection sort="0" autoFilter="0"/>
  <autoFilter ref="A9:Q203" xr:uid="{00000000-0001-0000-0000-000000000000}">
    <filterColumn colId="11" showButton="0"/>
    <filterColumn colId="14" showButton="0"/>
  </autoFilter>
  <mergeCells count="17">
    <mergeCell ref="A4:Q4"/>
    <mergeCell ref="A5:Q5"/>
    <mergeCell ref="A6:Q6"/>
    <mergeCell ref="A8:A10"/>
    <mergeCell ref="L8:R8"/>
    <mergeCell ref="L9:M9"/>
    <mergeCell ref="N9:N10"/>
    <mergeCell ref="O9:P9"/>
    <mergeCell ref="Q9:Q10"/>
    <mergeCell ref="R9:R10"/>
    <mergeCell ref="A220:D220"/>
    <mergeCell ref="A206:Q206"/>
    <mergeCell ref="A207:Q207"/>
    <mergeCell ref="A208:Q208"/>
    <mergeCell ref="A209:Q209"/>
    <mergeCell ref="A210:R210"/>
    <mergeCell ref="A219:D219"/>
  </mergeCells>
  <pageMargins left="0.7" right="0.7" top="0.75" bottom="0.75" header="0.3" footer="0.3"/>
  <pageSetup paperSize="9" scale="2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ВДЦ силикатный блок</vt:lpstr>
      <vt:lpstr>ЭТП</vt:lpstr>
      <vt:lpstr>ВДЦ для ЭП</vt:lpstr>
      <vt:lpstr>'ВДЦ для ЭП'!Область_печати</vt:lpstr>
      <vt:lpstr>'ВДЦ силикатный блок'!Область_печати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Буркова Екатерина Витальевна</dc:creator>
  <cp:lastModifiedBy>Шилкова Евгения</cp:lastModifiedBy>
  <dcterms:created xsi:type="dcterms:W3CDTF">2015-06-05T18:19:34Z</dcterms:created>
  <dcterms:modified xsi:type="dcterms:W3CDTF">2026-06-30T11:35:25Z</dcterms:modified>
</cp:coreProperties>
</file>