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tsksrv\_Share\3.2_ЯКС\1_ПТО\1. ПТО\1. ОБЪЕКТЫ\5. ЖК СИБИРСКИЙ\2. ТЕНДЕР\Металлические изделия\ФИНАЛЬНЫЕ ВЕРСИИ\"/>
    </mc:Choice>
  </mc:AlternateContent>
  <xr:revisionPtr revIDLastSave="0" documentId="13_ncr:1_{7E5CAE48-36CA-42E7-9F2F-A9B6BC8C3FE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А" sheetId="4" r:id="rId1"/>
    <sheet name="1Б" sheetId="10" r:id="rId2"/>
    <sheet name="2А" sheetId="11" r:id="rId3"/>
    <sheet name="2Б" sheetId="12" r:id="rId4"/>
    <sheet name="3А" sheetId="13" r:id="rId5"/>
    <sheet name="3Б" sheetId="14" r:id="rId6"/>
    <sheet name="3В" sheetId="15" r:id="rId7"/>
    <sheet name="4А" sheetId="16" r:id="rId8"/>
  </sheets>
  <definedNames>
    <definedName name="_xlnm._FilterDatabase" localSheetId="0" hidden="1">'1А'!$A$10:$N$48</definedName>
    <definedName name="_xlnm._FilterDatabase" localSheetId="1" hidden="1">'1Б'!$A$10:$N$50</definedName>
    <definedName name="_xlnm._FilterDatabase" localSheetId="2" hidden="1">'2А'!$A$10:$N$49</definedName>
    <definedName name="_xlnm._FilterDatabase" localSheetId="3" hidden="1">'2Б'!$A$10:$N$51</definedName>
    <definedName name="_xlnm._FilterDatabase" localSheetId="4" hidden="1">'3А'!$A$10:$N$43</definedName>
    <definedName name="_xlnm._FilterDatabase" localSheetId="5" hidden="1">'3Б'!$A$10:$N$42</definedName>
    <definedName name="_xlnm._FilterDatabase" localSheetId="6" hidden="1">'3В'!$A$10:$N$43</definedName>
    <definedName name="_xlnm._FilterDatabase" localSheetId="7" hidden="1">'4А'!$A$10:$P$40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3" i="16" l="1"/>
  <c r="H22" i="16"/>
  <c r="H21" i="16"/>
  <c r="H20" i="16"/>
  <c r="H19" i="16"/>
  <c r="H18" i="16"/>
  <c r="H17" i="16"/>
  <c r="H16" i="16"/>
  <c r="H15" i="16"/>
  <c r="H14" i="15"/>
  <c r="H14" i="14"/>
  <c r="H14" i="13"/>
  <c r="H14" i="12"/>
  <c r="H14" i="11"/>
  <c r="H14" i="10"/>
  <c r="H14" i="4"/>
  <c r="H27" i="15"/>
  <c r="H26" i="15"/>
  <c r="H25" i="15"/>
  <c r="H24" i="15"/>
  <c r="H22" i="15"/>
  <c r="H21" i="15"/>
  <c r="H20" i="15"/>
  <c r="H19" i="15"/>
  <c r="H18" i="15"/>
  <c r="H17" i="15"/>
  <c r="H16" i="15"/>
  <c r="H15" i="15"/>
  <c r="H26" i="14"/>
  <c r="H25" i="14"/>
  <c r="H23" i="14"/>
  <c r="H22" i="14"/>
  <c r="H21" i="14"/>
  <c r="H20" i="14"/>
  <c r="H19" i="14"/>
  <c r="H18" i="14"/>
  <c r="H17" i="14"/>
  <c r="H16" i="14"/>
  <c r="H15" i="14"/>
  <c r="H27" i="13"/>
  <c r="H26" i="13"/>
  <c r="H24" i="13"/>
  <c r="H23" i="13"/>
  <c r="H22" i="13"/>
  <c r="H21" i="13"/>
  <c r="H20" i="13"/>
  <c r="H19" i="13"/>
  <c r="H18" i="13"/>
  <c r="H17" i="13"/>
  <c r="H16" i="13"/>
  <c r="H15" i="13"/>
  <c r="H36" i="12"/>
  <c r="H35" i="12"/>
  <c r="H34" i="12"/>
  <c r="H29" i="12"/>
  <c r="H28" i="12"/>
  <c r="H27" i="12"/>
  <c r="H25" i="12"/>
  <c r="H24" i="12"/>
  <c r="H23" i="12"/>
  <c r="H22" i="12"/>
  <c r="H21" i="12"/>
  <c r="H20" i="12"/>
  <c r="H19" i="12"/>
  <c r="H18" i="12"/>
  <c r="H17" i="12"/>
  <c r="H16" i="12"/>
  <c r="H15" i="12"/>
  <c r="H34" i="11"/>
  <c r="H33" i="11"/>
  <c r="H32" i="11"/>
  <c r="H27" i="11"/>
  <c r="H25" i="11"/>
  <c r="H24" i="11"/>
  <c r="H23" i="11"/>
  <c r="H22" i="11"/>
  <c r="H21" i="11"/>
  <c r="H20" i="11"/>
  <c r="H19" i="11"/>
  <c r="H18" i="11"/>
  <c r="H17" i="11"/>
  <c r="H16" i="11"/>
  <c r="H15" i="11"/>
  <c r="H35" i="10" l="1"/>
  <c r="H34" i="10"/>
  <c r="H33" i="10"/>
  <c r="H28" i="10"/>
  <c r="H27" i="10"/>
  <c r="H26" i="10"/>
  <c r="H24" i="10"/>
  <c r="H23" i="10"/>
  <c r="H22" i="10"/>
  <c r="H21" i="10"/>
  <c r="H20" i="10"/>
  <c r="H19" i="10"/>
  <c r="H18" i="10"/>
  <c r="H17" i="10"/>
  <c r="H16" i="10"/>
  <c r="H15" i="10"/>
  <c r="H33" i="4"/>
  <c r="H32" i="4"/>
  <c r="H31" i="4"/>
  <c r="H26" i="4"/>
  <c r="H24" i="4"/>
  <c r="H23" i="4"/>
  <c r="H22" i="4"/>
  <c r="H21" i="4"/>
  <c r="H20" i="4"/>
  <c r="H19" i="4"/>
  <c r="H18" i="4"/>
  <c r="H17" i="4"/>
  <c r="H16" i="4"/>
  <c r="H15" i="4"/>
  <c r="L17" i="16"/>
  <c r="N17" i="16" s="1"/>
  <c r="K17" i="16"/>
  <c r="H12" i="15" l="1"/>
  <c r="K12" i="15"/>
  <c r="M12" i="15"/>
  <c r="N12" i="15" s="1"/>
  <c r="K13" i="15"/>
  <c r="L13" i="15"/>
  <c r="N13" i="15" s="1"/>
  <c r="M14" i="15"/>
  <c r="K14" i="15"/>
  <c r="K15" i="15"/>
  <c r="L15" i="15"/>
  <c r="K16" i="15"/>
  <c r="L16" i="15"/>
  <c r="N16" i="15" s="1"/>
  <c r="K17" i="15"/>
  <c r="L17" i="15"/>
  <c r="N17" i="15" s="1"/>
  <c r="K18" i="15"/>
  <c r="L18" i="15"/>
  <c r="N18" i="15" s="1"/>
  <c r="K19" i="15"/>
  <c r="L19" i="15"/>
  <c r="N19" i="15" s="1"/>
  <c r="K20" i="15"/>
  <c r="L20" i="15"/>
  <c r="N20" i="15" s="1"/>
  <c r="K21" i="15"/>
  <c r="L21" i="15"/>
  <c r="N21" i="15" s="1"/>
  <c r="K22" i="15"/>
  <c r="L22" i="15"/>
  <c r="N22" i="15" s="1"/>
  <c r="H23" i="15"/>
  <c r="M23" i="15" s="1"/>
  <c r="N23" i="15" s="1"/>
  <c r="K23" i="15"/>
  <c r="K24" i="15"/>
  <c r="L24" i="15"/>
  <c r="N24" i="15" s="1"/>
  <c r="K25" i="15"/>
  <c r="L25" i="15"/>
  <c r="N25" i="15" s="1"/>
  <c r="K26" i="15"/>
  <c r="L26" i="15"/>
  <c r="N26" i="15" s="1"/>
  <c r="K27" i="15"/>
  <c r="L27" i="15"/>
  <c r="N27" i="15" s="1"/>
  <c r="H28" i="15"/>
  <c r="M28" i="15" s="1"/>
  <c r="N28" i="15" s="1"/>
  <c r="K28" i="15"/>
  <c r="K29" i="15"/>
  <c r="L29" i="15"/>
  <c r="N29" i="15" s="1"/>
  <c r="L15" i="16"/>
  <c r="N15" i="16" s="1"/>
  <c r="K15" i="16"/>
  <c r="K14" i="16"/>
  <c r="H14" i="16"/>
  <c r="M14" i="16" s="1"/>
  <c r="N14" i="16" s="1"/>
  <c r="L26" i="16"/>
  <c r="N26" i="16" s="1"/>
  <c r="K26" i="16"/>
  <c r="L25" i="16"/>
  <c r="N25" i="16" s="1"/>
  <c r="K25" i="16"/>
  <c r="K24" i="16"/>
  <c r="H24" i="16"/>
  <c r="M24" i="16" s="1"/>
  <c r="N24" i="16" s="1"/>
  <c r="L23" i="16"/>
  <c r="N23" i="16" s="1"/>
  <c r="K23" i="16"/>
  <c r="L22" i="16"/>
  <c r="N22" i="16" s="1"/>
  <c r="K22" i="16"/>
  <c r="L21" i="16"/>
  <c r="N21" i="16" s="1"/>
  <c r="K21" i="16"/>
  <c r="L20" i="16"/>
  <c r="N20" i="16" s="1"/>
  <c r="K20" i="16"/>
  <c r="L19" i="16"/>
  <c r="N19" i="16" s="1"/>
  <c r="K19" i="16"/>
  <c r="L18" i="16"/>
  <c r="N18" i="16" s="1"/>
  <c r="K18" i="16"/>
  <c r="K16" i="16"/>
  <c r="M16" i="16"/>
  <c r="N16" i="16" s="1"/>
  <c r="L13" i="16"/>
  <c r="K13" i="16"/>
  <c r="K12" i="16"/>
  <c r="H12" i="16"/>
  <c r="M12" i="16" s="1"/>
  <c r="H37" i="12"/>
  <c r="N13" i="16" l="1"/>
  <c r="L27" i="16"/>
  <c r="N12" i="16"/>
  <c r="M27" i="16"/>
  <c r="L30" i="15"/>
  <c r="N14" i="15"/>
  <c r="M30" i="15"/>
  <c r="N15" i="15"/>
  <c r="H35" i="11"/>
  <c r="L35" i="11" s="1"/>
  <c r="N35" i="11" s="1"/>
  <c r="H36" i="10"/>
  <c r="L36" i="10" s="1"/>
  <c r="N36" i="10" s="1"/>
  <c r="L18" i="14"/>
  <c r="N18" i="14" s="1"/>
  <c r="K18" i="14"/>
  <c r="L28" i="14"/>
  <c r="N28" i="14" s="1"/>
  <c r="K28" i="14"/>
  <c r="K27" i="14"/>
  <c r="H27" i="14"/>
  <c r="M27" i="14" s="1"/>
  <c r="N27" i="14" s="1"/>
  <c r="L26" i="14"/>
  <c r="N26" i="14" s="1"/>
  <c r="K26" i="14"/>
  <c r="L25" i="14"/>
  <c r="N25" i="14" s="1"/>
  <c r="K25" i="14"/>
  <c r="K24" i="14"/>
  <c r="H24" i="14"/>
  <c r="M24" i="14" s="1"/>
  <c r="N24" i="14" s="1"/>
  <c r="L23" i="14"/>
  <c r="N23" i="14" s="1"/>
  <c r="K23" i="14"/>
  <c r="L22" i="14"/>
  <c r="N22" i="14" s="1"/>
  <c r="K22" i="14"/>
  <c r="L21" i="14"/>
  <c r="N21" i="14" s="1"/>
  <c r="K21" i="14"/>
  <c r="L20" i="14"/>
  <c r="N20" i="14" s="1"/>
  <c r="K20" i="14"/>
  <c r="L19" i="14"/>
  <c r="N19" i="14" s="1"/>
  <c r="K19" i="14"/>
  <c r="L17" i="14"/>
  <c r="N17" i="14" s="1"/>
  <c r="K17" i="14"/>
  <c r="L16" i="14"/>
  <c r="N16" i="14" s="1"/>
  <c r="K16" i="14"/>
  <c r="L15" i="14"/>
  <c r="K15" i="14"/>
  <c r="K14" i="14"/>
  <c r="M14" i="14"/>
  <c r="L13" i="14"/>
  <c r="K13" i="14"/>
  <c r="K12" i="14"/>
  <c r="H12" i="14"/>
  <c r="M12" i="14" s="1"/>
  <c r="N12" i="14" s="1"/>
  <c r="L20" i="13"/>
  <c r="N20" i="13" s="1"/>
  <c r="K20" i="13"/>
  <c r="L21" i="13"/>
  <c r="N21" i="13" s="1"/>
  <c r="K21" i="13"/>
  <c r="L29" i="13"/>
  <c r="N29" i="13" s="1"/>
  <c r="K29" i="13"/>
  <c r="K28" i="13"/>
  <c r="H28" i="13"/>
  <c r="M28" i="13" s="1"/>
  <c r="N28" i="13" s="1"/>
  <c r="L27" i="13"/>
  <c r="N27" i="13" s="1"/>
  <c r="K27" i="13"/>
  <c r="L26" i="13"/>
  <c r="N26" i="13" s="1"/>
  <c r="K26" i="13"/>
  <c r="K25" i="13"/>
  <c r="H25" i="13"/>
  <c r="M25" i="13" s="1"/>
  <c r="N25" i="13" s="1"/>
  <c r="L24" i="13"/>
  <c r="N24" i="13" s="1"/>
  <c r="K24" i="13"/>
  <c r="L23" i="13"/>
  <c r="N23" i="13" s="1"/>
  <c r="K23" i="13"/>
  <c r="L22" i="13"/>
  <c r="N22" i="13" s="1"/>
  <c r="K22" i="13"/>
  <c r="L19" i="13"/>
  <c r="N19" i="13" s="1"/>
  <c r="K19" i="13"/>
  <c r="L18" i="13"/>
  <c r="N18" i="13" s="1"/>
  <c r="K18" i="13"/>
  <c r="L17" i="13"/>
  <c r="N17" i="13" s="1"/>
  <c r="K17" i="13"/>
  <c r="L16" i="13"/>
  <c r="N16" i="13" s="1"/>
  <c r="K16" i="13"/>
  <c r="L15" i="13"/>
  <c r="K15" i="13"/>
  <c r="K14" i="13"/>
  <c r="M14" i="13"/>
  <c r="L13" i="13"/>
  <c r="N13" i="13" s="1"/>
  <c r="K13" i="13"/>
  <c r="K12" i="13"/>
  <c r="H12" i="13"/>
  <c r="M12" i="13" s="1"/>
  <c r="N12" i="13" s="1"/>
  <c r="L29" i="12"/>
  <c r="N29" i="12" s="1"/>
  <c r="K29" i="12"/>
  <c r="L28" i="12"/>
  <c r="N28" i="12" s="1"/>
  <c r="K28" i="12"/>
  <c r="L27" i="12"/>
  <c r="N27" i="12" s="1"/>
  <c r="K27" i="12"/>
  <c r="K26" i="12"/>
  <c r="H26" i="12"/>
  <c r="M26" i="12" s="1"/>
  <c r="N26" i="12" s="1"/>
  <c r="K37" i="12"/>
  <c r="L37" i="12"/>
  <c r="N37" i="12" s="1"/>
  <c r="L36" i="12"/>
  <c r="N36" i="12" s="1"/>
  <c r="K36" i="12"/>
  <c r="K35" i="12"/>
  <c r="K34" i="12"/>
  <c r="L33" i="12"/>
  <c r="N33" i="12" s="1"/>
  <c r="K33" i="12"/>
  <c r="K32" i="12"/>
  <c r="H32" i="12"/>
  <c r="M32" i="12" s="1"/>
  <c r="N32" i="12" s="1"/>
  <c r="L31" i="12"/>
  <c r="N31" i="12" s="1"/>
  <c r="K31" i="12"/>
  <c r="K30" i="12"/>
  <c r="H30" i="12"/>
  <c r="M30" i="12" s="1"/>
  <c r="N30" i="12" s="1"/>
  <c r="L25" i="12"/>
  <c r="N25" i="12" s="1"/>
  <c r="K25" i="12"/>
  <c r="L24" i="12"/>
  <c r="K24" i="12"/>
  <c r="L23" i="12"/>
  <c r="N23" i="12" s="1"/>
  <c r="K23" i="12"/>
  <c r="L22" i="12"/>
  <c r="N22" i="12" s="1"/>
  <c r="K22" i="12"/>
  <c r="L21" i="12"/>
  <c r="N21" i="12" s="1"/>
  <c r="K21" i="12"/>
  <c r="L20" i="12"/>
  <c r="N20" i="12" s="1"/>
  <c r="K20" i="12"/>
  <c r="L19" i="12"/>
  <c r="N19" i="12" s="1"/>
  <c r="K19" i="12"/>
  <c r="L18" i="12"/>
  <c r="N18" i="12" s="1"/>
  <c r="K18" i="12"/>
  <c r="L17" i="12"/>
  <c r="N17" i="12" s="1"/>
  <c r="K17" i="12"/>
  <c r="L16" i="12"/>
  <c r="N16" i="12" s="1"/>
  <c r="K16" i="12"/>
  <c r="L15" i="12"/>
  <c r="N15" i="12" s="1"/>
  <c r="K15" i="12"/>
  <c r="K14" i="12"/>
  <c r="M14" i="12"/>
  <c r="L13" i="12"/>
  <c r="K13" i="12"/>
  <c r="K12" i="12"/>
  <c r="H12" i="12"/>
  <c r="M12" i="12" s="1"/>
  <c r="N12" i="12" s="1"/>
  <c r="L21" i="11"/>
  <c r="N21" i="11" s="1"/>
  <c r="K21" i="11"/>
  <c r="L16" i="11"/>
  <c r="N16" i="11" s="1"/>
  <c r="K16" i="11"/>
  <c r="K35" i="11"/>
  <c r="L34" i="11"/>
  <c r="N34" i="11" s="1"/>
  <c r="K34" i="11"/>
  <c r="K33" i="11"/>
  <c r="K32" i="11"/>
  <c r="L31" i="11"/>
  <c r="N31" i="11" s="1"/>
  <c r="K31" i="11"/>
  <c r="K30" i="11"/>
  <c r="H30" i="11"/>
  <c r="M30" i="11" s="1"/>
  <c r="N30" i="11" s="1"/>
  <c r="L29" i="11"/>
  <c r="N29" i="11" s="1"/>
  <c r="K29" i="11"/>
  <c r="K28" i="11"/>
  <c r="H28" i="11"/>
  <c r="M28" i="11" s="1"/>
  <c r="N28" i="11" s="1"/>
  <c r="L27" i="11"/>
  <c r="N27" i="11" s="1"/>
  <c r="K27" i="11"/>
  <c r="K26" i="11"/>
  <c r="H26" i="11"/>
  <c r="M26" i="11" s="1"/>
  <c r="N26" i="11" s="1"/>
  <c r="L25" i="11"/>
  <c r="N25" i="11" s="1"/>
  <c r="K25" i="11"/>
  <c r="L24" i="11"/>
  <c r="N24" i="11" s="1"/>
  <c r="K24" i="11"/>
  <c r="L23" i="11"/>
  <c r="N23" i="11" s="1"/>
  <c r="K23" i="11"/>
  <c r="L22" i="11"/>
  <c r="N22" i="11" s="1"/>
  <c r="K22" i="11"/>
  <c r="L20" i="11"/>
  <c r="N20" i="11" s="1"/>
  <c r="K20" i="11"/>
  <c r="L19" i="11"/>
  <c r="N19" i="11" s="1"/>
  <c r="K19" i="11"/>
  <c r="L18" i="11"/>
  <c r="N18" i="11" s="1"/>
  <c r="K18" i="11"/>
  <c r="L17" i="11"/>
  <c r="N17" i="11" s="1"/>
  <c r="K17" i="11"/>
  <c r="L15" i="11"/>
  <c r="K15" i="11"/>
  <c r="K14" i="11"/>
  <c r="M14" i="11"/>
  <c r="L13" i="11"/>
  <c r="K13" i="11"/>
  <c r="K12" i="11"/>
  <c r="H12" i="11"/>
  <c r="M12" i="11" s="1"/>
  <c r="N12" i="11" s="1"/>
  <c r="L28" i="10"/>
  <c r="N28" i="10" s="1"/>
  <c r="K28" i="10"/>
  <c r="L27" i="10"/>
  <c r="N27" i="10" s="1"/>
  <c r="K27" i="10"/>
  <c r="H25" i="10"/>
  <c r="M25" i="10" s="1"/>
  <c r="N25" i="10" s="1"/>
  <c r="K36" i="10"/>
  <c r="L35" i="10"/>
  <c r="N35" i="10" s="1"/>
  <c r="K35" i="10"/>
  <c r="K34" i="10"/>
  <c r="K33" i="10"/>
  <c r="L32" i="10"/>
  <c r="N32" i="10" s="1"/>
  <c r="K32" i="10"/>
  <c r="K31" i="10"/>
  <c r="H31" i="10"/>
  <c r="M31" i="10" s="1"/>
  <c r="N31" i="10" s="1"/>
  <c r="L30" i="10"/>
  <c r="N30" i="10" s="1"/>
  <c r="K30" i="10"/>
  <c r="K29" i="10"/>
  <c r="H29" i="10"/>
  <c r="M29" i="10" s="1"/>
  <c r="N29" i="10" s="1"/>
  <c r="L26" i="10"/>
  <c r="N26" i="10" s="1"/>
  <c r="K26" i="10"/>
  <c r="K25" i="10"/>
  <c r="L24" i="10"/>
  <c r="N24" i="10" s="1"/>
  <c r="K24" i="10"/>
  <c r="L23" i="10"/>
  <c r="N23" i="10" s="1"/>
  <c r="K23" i="10"/>
  <c r="L22" i="10"/>
  <c r="N22" i="10" s="1"/>
  <c r="K22" i="10"/>
  <c r="L21" i="10"/>
  <c r="N21" i="10" s="1"/>
  <c r="K21" i="10"/>
  <c r="L20" i="10"/>
  <c r="N20" i="10" s="1"/>
  <c r="K20" i="10"/>
  <c r="L19" i="10"/>
  <c r="N19" i="10" s="1"/>
  <c r="K19" i="10"/>
  <c r="L18" i="10"/>
  <c r="N18" i="10" s="1"/>
  <c r="K18" i="10"/>
  <c r="L17" i="10"/>
  <c r="N17" i="10" s="1"/>
  <c r="K17" i="10"/>
  <c r="L16" i="10"/>
  <c r="N16" i="10" s="1"/>
  <c r="K16" i="10"/>
  <c r="L15" i="10"/>
  <c r="K15" i="10"/>
  <c r="K14" i="10"/>
  <c r="M14" i="10"/>
  <c r="L13" i="10"/>
  <c r="K13" i="10"/>
  <c r="K12" i="10"/>
  <c r="H12" i="10"/>
  <c r="M12" i="10" s="1"/>
  <c r="N12" i="10" s="1"/>
  <c r="H34" i="4"/>
  <c r="H29" i="4"/>
  <c r="N27" i="16" l="1"/>
  <c r="N28" i="16" s="1"/>
  <c r="N30" i="15"/>
  <c r="N31" i="15" s="1"/>
  <c r="N14" i="14"/>
  <c r="M29" i="14"/>
  <c r="N15" i="14"/>
  <c r="L29" i="14"/>
  <c r="N14" i="13"/>
  <c r="M30" i="13"/>
  <c r="N15" i="13"/>
  <c r="L30" i="13"/>
  <c r="N14" i="12"/>
  <c r="M38" i="12"/>
  <c r="N24" i="12"/>
  <c r="N15" i="11"/>
  <c r="N14" i="11"/>
  <c r="M36" i="11"/>
  <c r="N14" i="10"/>
  <c r="M37" i="10"/>
  <c r="N15" i="10"/>
  <c r="N13" i="14"/>
  <c r="N13" i="12"/>
  <c r="L35" i="12"/>
  <c r="N35" i="12" s="1"/>
  <c r="L34" i="12"/>
  <c r="N34" i="12" s="1"/>
  <c r="L32" i="11"/>
  <c r="N32" i="11" s="1"/>
  <c r="N13" i="11"/>
  <c r="L33" i="11"/>
  <c r="N33" i="11" s="1"/>
  <c r="L33" i="10"/>
  <c r="N33" i="10" s="1"/>
  <c r="L34" i="10"/>
  <c r="N34" i="10" s="1"/>
  <c r="N13" i="10"/>
  <c r="N30" i="13" l="1"/>
  <c r="N31" i="13" s="1"/>
  <c r="L38" i="12"/>
  <c r="L36" i="11"/>
  <c r="N36" i="11"/>
  <c r="N37" i="11" s="1"/>
  <c r="L37" i="10"/>
  <c r="N29" i="14"/>
  <c r="N30" i="14" s="1"/>
  <c r="N38" i="12"/>
  <c r="N39" i="12" s="1"/>
  <c r="N37" i="10"/>
  <c r="N38" i="10" s="1"/>
  <c r="L34" i="4"/>
  <c r="N34" i="4" s="1"/>
  <c r="K34" i="4"/>
  <c r="L33" i="4"/>
  <c r="N33" i="4" s="1"/>
  <c r="K33" i="4"/>
  <c r="L32" i="4"/>
  <c r="N32" i="4" s="1"/>
  <c r="K32" i="4"/>
  <c r="L31" i="4"/>
  <c r="N31" i="4" s="1"/>
  <c r="K31" i="4"/>
  <c r="K29" i="4"/>
  <c r="M29" i="4"/>
  <c r="N29" i="4" s="1"/>
  <c r="K27" i="4"/>
  <c r="H27" i="4"/>
  <c r="M27" i="4" s="1"/>
  <c r="N27" i="4" s="1"/>
  <c r="K12" i="4"/>
  <c r="H12" i="4"/>
  <c r="M12" i="4" s="1"/>
  <c r="N12" i="4" s="1"/>
  <c r="H25" i="4"/>
  <c r="M25" i="4" s="1"/>
  <c r="N25" i="4" s="1"/>
  <c r="K25" i="4"/>
  <c r="L24" i="4"/>
  <c r="N24" i="4" s="1"/>
  <c r="K24" i="4"/>
  <c r="L23" i="4"/>
  <c r="N23" i="4" s="1"/>
  <c r="K23" i="4"/>
  <c r="L22" i="4"/>
  <c r="N22" i="4" s="1"/>
  <c r="K22" i="4"/>
  <c r="L21" i="4"/>
  <c r="N21" i="4" s="1"/>
  <c r="K21" i="4"/>
  <c r="L20" i="4"/>
  <c r="N20" i="4" s="1"/>
  <c r="K20" i="4"/>
  <c r="L19" i="4"/>
  <c r="N19" i="4" s="1"/>
  <c r="K19" i="4"/>
  <c r="L18" i="4"/>
  <c r="N18" i="4" s="1"/>
  <c r="K18" i="4"/>
  <c r="L17" i="4"/>
  <c r="N17" i="4" s="1"/>
  <c r="K17" i="4"/>
  <c r="L16" i="4"/>
  <c r="N16" i="4" s="1"/>
  <c r="K16" i="4"/>
  <c r="L30" i="4" l="1"/>
  <c r="N30" i="4" s="1"/>
  <c r="K30" i="4"/>
  <c r="L28" i="4"/>
  <c r="N28" i="4" s="1"/>
  <c r="K28" i="4"/>
  <c r="L13" i="4"/>
  <c r="N13" i="4" s="1"/>
  <c r="K13" i="4"/>
  <c r="L26" i="4"/>
  <c r="N26" i="4" s="1"/>
  <c r="K26" i="4"/>
  <c r="L15" i="4"/>
  <c r="L35" i="4" s="1"/>
  <c r="K15" i="4"/>
  <c r="M14" i="4"/>
  <c r="K14" i="4"/>
  <c r="N14" i="4" l="1"/>
  <c r="M35" i="4"/>
  <c r="N15" i="4"/>
  <c r="N35" i="4" l="1"/>
  <c r="N36" i="4" s="1"/>
</calcChain>
</file>

<file path=xl/sharedStrings.xml><?xml version="1.0" encoding="utf-8"?>
<sst xmlns="http://schemas.openxmlformats.org/spreadsheetml/2006/main" count="1056" uniqueCount="146">
  <si>
    <t xml:space="preserve">Приложение №3 </t>
  </si>
  <si>
    <t>к Приказу №____ от _____</t>
  </si>
  <si>
    <t xml:space="preserve">Коммерческое предложение </t>
  </si>
  <si>
    <t>Код</t>
  </si>
  <si>
    <t>Наименование  затрат</t>
  </si>
  <si>
    <t>Примечание</t>
  </si>
  <si>
    <t>Ед. изм.</t>
  </si>
  <si>
    <t>Коэф. Расхода</t>
  </si>
  <si>
    <t>Кол-во</t>
  </si>
  <si>
    <t xml:space="preserve">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
Замену отразить в поле примечание ниже. </t>
  </si>
  <si>
    <t>Цена, руб. в т.ч.  НДС</t>
  </si>
  <si>
    <t>Стоимость, руб. в т.ч. НДС</t>
  </si>
  <si>
    <t>Общая стоимость,
руб. в т.ч. НДС</t>
  </si>
  <si>
    <t>*</t>
  </si>
  <si>
    <t>Материалы/ оборудование</t>
  </si>
  <si>
    <t>СМР</t>
  </si>
  <si>
    <t>договорная цена</t>
  </si>
  <si>
    <t>материал подрядчика</t>
  </si>
  <si>
    <t>шт</t>
  </si>
  <si>
    <t xml:space="preserve">Общая стоимость работ </t>
  </si>
  <si>
    <t>Квалификационная и контактная информация</t>
  </si>
  <si>
    <t>Наличие авансирования</t>
  </si>
  <si>
    <t>Готовность приступить к работе по уведомлению</t>
  </si>
  <si>
    <t>Срок исполнения предмета тендера</t>
  </si>
  <si>
    <t>Информация о посещении объекта (были/не были), вопросы по результатам посещения</t>
  </si>
  <si>
    <t>Готовность подписать договор в редакции Заказчика</t>
  </si>
  <si>
    <t>Наличие СРО</t>
  </si>
  <si>
    <t>Опыт работы</t>
  </si>
  <si>
    <t>Дата регистрации компании</t>
  </si>
  <si>
    <t>e-mail</t>
  </si>
  <si>
    <t>Генеральный директор : Ф.И.О. полностью, тел., e-mail</t>
  </si>
  <si>
    <t>Контактное лицо: Ф.И.О. полностью, тел., e-mail</t>
  </si>
  <si>
    <t>___________________________________ /_____________/</t>
  </si>
  <si>
    <r>
      <t>на объекте:</t>
    </r>
    <r>
      <rPr>
        <b/>
        <sz val="12"/>
        <color theme="1"/>
        <rFont val="Times New Roman"/>
        <family val="1"/>
        <charset val="204"/>
      </rPr>
      <t xml:space="preserve"> "Многоквартирные жилые дома с объектами инфраструктуры, расположенные по адресу: г.Тюмень, ул. Московский тракт, Квартал №1" </t>
    </r>
    <r>
      <rPr>
        <sz val="12"/>
        <color theme="1"/>
        <rFont val="Times New Roman"/>
        <family val="1"/>
        <charset val="204"/>
      </rPr>
      <t>Секция 2А</t>
    </r>
  </si>
  <si>
    <t>Номер п/п</t>
  </si>
  <si>
    <t>в т.ч. НДС 22%</t>
  </si>
  <si>
    <t>Цена, руб. в т.ч. НДС</t>
  </si>
  <si>
    <r>
      <t>на объекте:</t>
    </r>
    <r>
      <rPr>
        <b/>
        <sz val="12"/>
        <color theme="1"/>
        <rFont val="Times New Roman"/>
        <family val="1"/>
        <charset val="204"/>
      </rPr>
      <t xml:space="preserve"> "Многоквартирные жилые дома с объектами инфраструктуры, расположенные по адресу: г.Тюмень, ул. Московский тракт, Квартал №1" </t>
    </r>
    <r>
      <rPr>
        <sz val="12"/>
        <color theme="1"/>
        <rFont val="Times New Roman"/>
        <family val="1"/>
        <charset val="204"/>
      </rPr>
      <t>Секция 2Б</t>
    </r>
  </si>
  <si>
    <r>
      <t>на объекте:</t>
    </r>
    <r>
      <rPr>
        <b/>
        <sz val="12"/>
        <color theme="1"/>
        <rFont val="Times New Roman"/>
        <family val="1"/>
        <charset val="204"/>
      </rPr>
      <t xml:space="preserve"> "Многоквартирные жилые дома с объектами инфраструктуры, расположенные по адресу: г.Тюмень, ул. Московский тракт, Квартал №1" </t>
    </r>
    <r>
      <rPr>
        <sz val="12"/>
        <color theme="1"/>
        <rFont val="Times New Roman"/>
        <family val="1"/>
        <charset val="204"/>
      </rPr>
      <t>Секция 1А</t>
    </r>
  </si>
  <si>
    <r>
      <t>на объекте:</t>
    </r>
    <r>
      <rPr>
        <b/>
        <sz val="12"/>
        <color theme="1"/>
        <rFont val="Times New Roman"/>
        <family val="1"/>
        <charset val="204"/>
      </rPr>
      <t xml:space="preserve"> "Многоквартирные жилые дома с объектами инфраструктуры, расположенные по адресу: г.Тюмень, ул. Московский тракт, Квартал №1" </t>
    </r>
    <r>
      <rPr>
        <sz val="12"/>
        <color theme="1"/>
        <rFont val="Times New Roman"/>
        <family val="1"/>
        <charset val="204"/>
      </rPr>
      <t>Секция 1Б</t>
    </r>
  </si>
  <si>
    <r>
      <t>на объекте:</t>
    </r>
    <r>
      <rPr>
        <b/>
        <sz val="12"/>
        <color theme="1"/>
        <rFont val="Times New Roman"/>
        <family val="1"/>
        <charset val="204"/>
      </rPr>
      <t xml:space="preserve"> "Многоквартирные жилые дома с объектами инфраструктуры, расположенные по адресу: г.Тюмень, ул. Московский тракт, Квартал №1" </t>
    </r>
    <r>
      <rPr>
        <sz val="12"/>
        <color theme="1"/>
        <rFont val="Times New Roman"/>
        <family val="1"/>
        <charset val="204"/>
      </rPr>
      <t>Секция 3А</t>
    </r>
  </si>
  <si>
    <r>
      <t>на объекте:</t>
    </r>
    <r>
      <rPr>
        <b/>
        <sz val="12"/>
        <color theme="1"/>
        <rFont val="Times New Roman"/>
        <family val="1"/>
        <charset val="204"/>
      </rPr>
      <t xml:space="preserve"> "Многоквартирные жилые дома с объектами инфраструктуры, расположенные по адресу: г.Тюмень, ул. Московский тракт, Квартал №1" </t>
    </r>
    <r>
      <rPr>
        <sz val="12"/>
        <color theme="1"/>
        <rFont val="Times New Roman"/>
        <family val="1"/>
        <charset val="204"/>
      </rPr>
      <t>Секция 3Б</t>
    </r>
  </si>
  <si>
    <r>
      <t>на объекте:</t>
    </r>
    <r>
      <rPr>
        <b/>
        <sz val="12"/>
        <color theme="1"/>
        <rFont val="Times New Roman"/>
        <family val="1"/>
        <charset val="204"/>
      </rPr>
      <t xml:space="preserve"> "Многоквартирные жилые дома с объектами инфраструктуры, расположенные по адресу: г.Тюмень, ул. Московский тракт, Квартал №1" </t>
    </r>
    <r>
      <rPr>
        <sz val="12"/>
        <color theme="1"/>
        <rFont val="Times New Roman"/>
        <family val="1"/>
        <charset val="204"/>
      </rPr>
      <t>Секция 3В</t>
    </r>
  </si>
  <si>
    <t>Р</t>
  </si>
  <si>
    <t>М</t>
  </si>
  <si>
    <r>
      <t>на выполнение комплекса работ по</t>
    </r>
    <r>
      <rPr>
        <i/>
        <sz val="12"/>
        <rFont val="Times New Roman"/>
        <family val="1"/>
        <charset val="204"/>
      </rPr>
      <t xml:space="preserve"> изготовлению и монтажу металлических изделий</t>
    </r>
  </si>
  <si>
    <t>Изготовление и монтаж ограждений лестничных клеток (в т.ч. крепеж, доставка, окрашивание в цвет согласно проекта, требуются замеры на месте и предварительное согласование эскиза)</t>
  </si>
  <si>
    <t>Изготовление и монтаж ограждений террас (в т.ч. крепеж, доставка, окрашивание в цвет согласно проекта, требуются замеры на месте и предварительное согласование эскиза)</t>
  </si>
  <si>
    <t>Изготовление и монтаж стремянок (в т.ч. крепеж, доставка, окрашивание в цвет согласно проекта, требуются замеры на месте и предварительное согласование эскиза)</t>
  </si>
  <si>
    <t>Изготовление и монтаж решеток приямков (в т.ч. крепеж, доставка, окрашивание в цвет согласно проекта, требуются замеры на месте и предварительное согласование эскиза)</t>
  </si>
  <si>
    <t>Металлическая решетка приямка 500х500</t>
  </si>
  <si>
    <t>м2</t>
  </si>
  <si>
    <t>Изготовление и монтаж металлических потолков по верху кладовых (в т.ч. крепеж, доставка, окрашивание в цвет согласно проекта, требуются замеры на месте и предварительное согласование эскиза)</t>
  </si>
  <si>
    <t>Оцинкованная сетка рабица 15х15 на каркасе из уголков</t>
  </si>
  <si>
    <t>Швеллер 10П L=100 мм (ГОСТ 8240-97) с шагом 600 мм</t>
  </si>
  <si>
    <t xml:space="preserve">Крючок из арматурного стержня d=6 мм </t>
  </si>
  <si>
    <t>Арматурный стержень d=6 мм</t>
  </si>
  <si>
    <t>Анкерный болт с крючком М8х60 с шагом 600 мм</t>
  </si>
  <si>
    <t>0.1.4.3.4.6.1</t>
  </si>
  <si>
    <t>Монтаж лестниц и стремянок</t>
  </si>
  <si>
    <t>Устройство ограждений балконов и лоджий, входных групп. Монтаж лестниц и стремянок</t>
  </si>
  <si>
    <t>0.1.4.3.4.6</t>
  </si>
  <si>
    <t>Устройство ограждения входных групп, балконов и лоджий</t>
  </si>
  <si>
    <t>0.1.4.3.4.6.2</t>
  </si>
  <si>
    <t>Металлическая решетка приямка 500х1000</t>
  </si>
  <si>
    <r>
      <rPr>
        <b/>
        <sz val="10"/>
        <rFont val="Times New Roman"/>
        <family val="1"/>
        <charset val="204"/>
      </rPr>
      <t xml:space="preserve">Примечание: </t>
    </r>
    <r>
      <rPr>
        <sz val="10"/>
        <rFont val="Times New Roman"/>
        <family val="1"/>
        <charset val="204"/>
      </rPr>
      <t xml:space="preserve"> 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Замену отразить в примечании 2. 
*Стоимость включает все виды и объемы работ, предусмотренные проектной документацией и техническим заданием, необходимые для выполнения полного комплекса работ, в том числе: стоимость материалов, стоимость изготовления конструкций, доставку, разгрузку и складирование материалов, разнос изделий по этажам или перемещение в пределах строительной площадки, монтаж с использованием необходимого оборудования, окрашивание в цвет, накладные расходы, сметную прибыль, НДС, обслуживание электрооборудования и подключение электроприборов, уборку и вывоз строительного мусора с объекта в период производства работ. Все вспомогательные и расходные материалы, в том числе крепления, учтены в стоимости СМР. Требуются замеры на месте и предварительное согласование эскиза. </t>
    </r>
    <r>
      <rPr>
        <b/>
        <sz val="10"/>
        <rFont val="Times New Roman"/>
        <family val="1"/>
        <charset val="204"/>
      </rPr>
      <t>Если предоставленная ВДЦ не учитывает какой-либо материал или вид СМР для выполнения полного комплекса работ, эти затраты должны быть учтены Подрядной организацией в предоставленном коммерческом предложении.</t>
    </r>
  </si>
  <si>
    <r>
      <t>на объекте:</t>
    </r>
    <r>
      <rPr>
        <b/>
        <sz val="12"/>
        <color theme="1"/>
        <rFont val="Times New Roman"/>
        <family val="1"/>
        <charset val="204"/>
      </rPr>
      <t xml:space="preserve"> "Многоквартирные жилые дома с объектами инфраструктуры, расположенные по адресу: г.Тюмень, ул. Московский тракт, Квартал №1" </t>
    </r>
    <r>
      <rPr>
        <sz val="12"/>
        <color theme="1"/>
        <rFont val="Times New Roman"/>
        <family val="1"/>
        <charset val="204"/>
      </rPr>
      <t>Секция 4А</t>
    </r>
  </si>
  <si>
    <t>Изготовление и монтаж лестниц металлических (в т.ч. крепеж, доставка, окрашивание в цвет согласно проекта, требуются замеры на месте и предварительное согласование эскиза)</t>
  </si>
  <si>
    <t>Изготовление и монтаж ограждений кровли (в т.ч. крепеж, доставка, окрашивание в цвет согласно проекта, требуются замеры на месте и предварительное согласование эскиза)</t>
  </si>
  <si>
    <t>Стремянка металлическая L=4110 мм, серия 1.450.3-7.94, вып.2, марка СГ-40, окраска согласно эскизному проекту RAL 3003</t>
  </si>
  <si>
    <t>пог.м.</t>
  </si>
  <si>
    <t>тн</t>
  </si>
  <si>
    <t>Металлическое лестничное ограждение Ог-1, грунтование и порошковая окраска согласно эскизному проекту RAL 3003 
(L=3,91 м.п.)
Поручень: стальной профиль 40х20х2</t>
  </si>
  <si>
    <t>Металлическое лестничное ограждение Ог-2, грунтование и порошковая окраска согласно эскизному проекту RAL 3003 
(L=14,47 м.п.)
Поручень: стальной профиль 40х20х2</t>
  </si>
  <si>
    <t>Металлическое лестничное ограждение Ог-3, грунтование и порошковая окраска согласно эскизному проекту RAL 3003 
(L=0,29 м.п.)
Поручень: стальной профиль 40х20х2</t>
  </si>
  <si>
    <t>Металлическое лестничное ограждение Ог-4, грунтование и порошковая окраска согласно эскизному проекту RAL 3003 м 
(L=4,73 м.п.)
Поручень и нижний пояс: стальной профиль 40х20х2;
Опорные стойки: стальной профиль 20х20, 30х20</t>
  </si>
  <si>
    <t>Металлическое лестничное ограждение Ог-5, грунтование и порошковая окраска согласно эскизному проекту RAL 3003  
(L=5,67 м.п.)
Поручень и нижний пояс: стальной профиль 40х20х2;
Опорные стойки: стальной профиль 20х20</t>
  </si>
  <si>
    <t>Металлическое лестничное ограждение Ог-6, грунтование и порошковая окраска согласно эскизному проекту RAL 3003  
(L=4,27 м.п.)
Поручень и нижний пояс: стальной профиль 40х20х2;
Опорные стойки: стальной профиль 20х20, 30х20</t>
  </si>
  <si>
    <t>Металлическое лестничное ограждение Ог-7, грунтование и порошковая окраска согласно эскизному проекту RAL 3003  
(L=33 м.п.)
Поручень и нижний пояс: стальной профиль 40х20х2;
Опорные стойки: стальной профиль 20х20, 30х20</t>
  </si>
  <si>
    <t>Металлическое лестничное ограждение Ог-7*, грунтование и порошковая окраска согласно эскизному проекту RAL 3003  
(L=29,7 м.п.)
Поручень и нижний пояс: стальной профиль 40х20х2;
Опорные стойки: стальной профиль 20х20, 30х20</t>
  </si>
  <si>
    <t>Металлическое лестничное ограждение Ог-8, грунтование и порошковая окраска согласно эскизному проекту RAL 3003  
(L=3,61 м.п.)
Поручень и нижний пояс: стальной профиль 40х20х2;
Опорные стойки: стальной профиль 20х20, 30х20</t>
  </si>
  <si>
    <t>Металлическое лестничное ограждение Ог-9, грунтование и порошковая окраска согласно эскизному проекту RAL 3003  
(L=1,35 м.п.)
Поручень и нижний пояс: стальной профиль 40х20х2;
Опорные стойки: стальной профиль 20х20, 30х20</t>
  </si>
  <si>
    <t>Металлическое ограждение террасы Ог-10, грунтование и порошковая окраска согласно эскизному проекту RAL 7021</t>
  </si>
  <si>
    <t>Металлическое лестничное ограждение Ог-1, грунтование и порошковая окраска согласно эскизному проекту RAL 3003
(L=3,92 м.п.)
Поручень: стальной профиль 40х20х2</t>
  </si>
  <si>
    <t>Металлическое лестничное ограждение Ог-2, грунтование и порошковая окраска согласно эскизному проекту RAL 3003
(L=2,98 м.п.)
Поручень: стальной профиль 40х20х2</t>
  </si>
  <si>
    <t>Металлическое лестничное ограждение Ог-3, грунтование и порошковая окраска согласно эскизному проекту RAL 3003
(L=0,29 м.п.)
Поручень: стальной профиль 40х20х2</t>
  </si>
  <si>
    <t>Металлическое лестничное ограждение Ог-4, грунтование и порошковая окраска согласно эскизному проекту RAL 3003
(L=3,73 м.п.)
Поручень и нижний пояс: стальной профиль 40х20х2;
Опорные стойки: стальной профиль 20х20, 30х20</t>
  </si>
  <si>
    <t>Металлическое лестничное ограждение Ог-5, грунтование и порошковая окраска согласно эскизному проекту RAL 3003
(L=8,37 м.п.)
Поручень и нижний пояс: стальной профиль 40х20х2;
Опорные стойки: стальной профиль 20х20</t>
  </si>
  <si>
    <t>Металлическое лестничное ограждение Ог-7, грунтование и порошковая окраска согласно эскизному проекту RAL 3003
(L=47,46 м.п.)
Поручень и нижний пояс: стальной профиль 40х20х2;
Опорные стойки: стальной профиль 20х20, 30х20</t>
  </si>
  <si>
    <t>Металлическое лестничное ограждение Ог-7*, грунтование и порошковая окраска согласно эскизному проекту RAL 3003
(L=47,46 м.п.)
Поручень и нижний пояс: стальной профиль 40х20х2;
Опорные стойки: стальной профиль 20х20, 30х20</t>
  </si>
  <si>
    <t>Металлическое лестничное ограждение Ог-8, грунтование и порошковая окраска согласно эскизному проекту RAL 3003
(L=3,61 м.п.)
Поручень и нижний пояс: стальной профиль 40х20х2;
Опорные стойки: стальной профиль 20х20, 30х20</t>
  </si>
  <si>
    <t>Металлическое лестничное ограждение Ог-9, грунтование и порошковая окраска согласно эскизному проекту RAL 3003
(L=1,35 м.п.)
Поручень и нижний пояс: стальной профиль 40х20х2;
Опорные стойки: стальной профиль 20х20, 30х20</t>
  </si>
  <si>
    <t>Металлическое лестничное ограждение Ог-11, грунтование и порошковая окраска согласно эскизному проекту RAL 3003
(L=3,97 м.п.)
Поручень и нижний пояс: стальной профиль 40х20х2;
Опорные стойки: стальной профиль 20х20, 30х20</t>
  </si>
  <si>
    <t>Металлическое ограждение террасы Ог-12, грунтование и порошковая окраска согласно эскизному проекту RAL 7021</t>
  </si>
  <si>
    <t>Металлическое ограждение террасы Ог-13, грунтование и порошковая окраска согласно эскизному проекту RAL 7021</t>
  </si>
  <si>
    <t>Металлическое лестничное ограждение Ог-1, грунтование и порошковая окраска согласно эскизному проекту RAL 3003
(L=3,62 м.п.)
Поручень: стальной профиль 40х20х2</t>
  </si>
  <si>
    <t>Металлическое лестничное ограждение Ог-1*, грунтование и порошковая окраска согласно эскизному проекту RAL 3003
(L=3,62 м.п.)
Поручень: стальной профиль 40х20х2</t>
  </si>
  <si>
    <t>Металлическое лестничное ограждение Ог-2, грунтование и порошковая окраска согласно эскизному проекту RAL 3003
(L=0,29 м.п.)
Поручень: стальной профиль 40х20х2</t>
  </si>
  <si>
    <t>Металлическое лестничное ограждение Ог-3, грунтование и порошковая окраска согласно эскизному проекту RAL 3003
(L=4,08 м.п.)
Поручень и нижний пояс: стальной профиль 40х20х2;
Опорные стойки: стальной профиль 20х20, 30х20</t>
  </si>
  <si>
    <t>Металлическое лестничное ограждение Ог-4, грунтование и порошковая окраска согласно эскизному проекту RAL 3003
(L=4,27 м.п.)
Поручень и нижний пояс: стальной профиль 40х20х2;
Опорные стойки: стальной профиль 20х20, 30х20</t>
  </si>
  <si>
    <t>Металлическое лестничное ограждение Ог-5, грунтование и порошковая окраска согласно эскизному проекту RAL 3003
(L=30,51 м.п.)
Поручень и нижний пояс: стальной профиль 40х20х2;
Опорные стойки: стальной профиль 20х20, 30х20</t>
  </si>
  <si>
    <t>Металлическое лестничное ограждение Ог-5*, грунтование и порошковая окраска согласно эскизному проекту RAL 3003
(L=30,51 м.п.)
Поручень и нижний пояс: стальной профиль 40х20х2;
Опорные стойки: стальной профиль 20х20, 30х20</t>
  </si>
  <si>
    <t>Металлическое лестничное ограждение Ог-6, грунтование и порошковая окраска согласно эскизному проекту RAL 3003
(L=3,97 м.п.)
Поручень и нижний пояс: стальной профиль 40х20х2;
Опорные стойки: стальной профиль 20х20, 30х20</t>
  </si>
  <si>
    <t>Металлическое лестничное ограждение Ог-7, грунтование и порошковая окраска согласно эскизному проекту RAL 3003
(L=1,35 м.п.)
Поручень и нижний пояс: стальной профиль 40х20х2;
Опорные стойки: стальной профиль 20х20, 30х20</t>
  </si>
  <si>
    <t>Металлическое лестничное ограждение Ог-8, грунтование и порошковая окраска согласно эскизному проекту RAL 3003
(L=5,67 м.п.)
Поручень и нижний пояс: стальной профиль 40х20х2;
Опорные стойки: стальной профиль 20х20</t>
  </si>
  <si>
    <t>Металлическое лестничное ограждение Ог-9, грунтование и порошковая окраска согласно эскизному проекту RAL 3003
(L=3,61 м.п.)
Поручень и нижний пояс: стальной профиль 40х20х2;
Опорные стойки: стальной профиль 20х20, 30х20</t>
  </si>
  <si>
    <t>Металлическое лестничное ограждение Ог-5, грунтование и порошковая окраска согласно эскизному проекту RAL 3003
(L=47,46 м.п.)
Поручень и нижний пояс: стальной профиль 40х20х2;
Опорные стойки: стальной профиль 20х20, 30х20</t>
  </si>
  <si>
    <t>Металлическое лестничное ограждение Ог-5*, грунтование и порошковая окраска согласно эскизному проекту RAL 3003
(L=47,46 м.п.)
Поручень и нижний пояс: стальной профиль 40х20х2;
Опорные стойки: стальной профиль 20х20, 30х20</t>
  </si>
  <si>
    <t>Металлическое лестничное ограждение Ог-8, грунтование и порошковая окраска согласно эскизному проекту RAL 3003
(L=8,37 м.п.)
Поручень и нижний пояс: стальной профиль 40х20х2;
Опорные стойки: стальной профиль 20х20</t>
  </si>
  <si>
    <t>Металлическое ограждение террасы Ог-11, грунтование и порошковая окраска согласно эскизному проекту RAL 7021</t>
  </si>
  <si>
    <t>Металлическое лестничное ограждение Ог-1, грунтование и порошковая окраска согласно эскизному проекту RAL 3003
(L=2,25 м.п.)
Поручень: стальной профиль 40х20х2</t>
  </si>
  <si>
    <t>Металлическое лестничное ограждение Ог-2, грунтование и порошковая окраска согласно эскизному проекту RAL 3003
(L=2,94 м.п.)
Поручень: стальной профиль 40х20х2</t>
  </si>
  <si>
    <t>Металлическое лестничное ограждение Ог-5, грунтование и порошковая окраска согласно эскизному проекту RAL 3003
(L=37,29 м.п.)
Поручень и нижний пояс: стальной профиль 40х20х2;
Опорные стойки: стальной профиль 20х20, 30х20</t>
  </si>
  <si>
    <t>Металлическое лестничное ограждение Ог-5*, грунтование и порошковая окраска согласно эскизному проекту RAL 3003
(L=37,29 м.п.)
Поручень и нижний пояс: стальной профиль 40х20х2;
Опорные стойки: стальной профиль 20х20, 30х20</t>
  </si>
  <si>
    <t>Металлическое лестничное ограждение Ог-8, грунтование и порошковая окраска согласно эскизному проекту RAL 3003
(L=6,75 м.п.)
Поручень и нижний пояс: стальной профиль 40х20х2;
Опорные стойки: стальной профиль 20х20</t>
  </si>
  <si>
    <t>Металлическое ограждение террасы ОГн-1, грунтование и порошковая окраска согласно эскизному проекту RAL 7021</t>
  </si>
  <si>
    <t>Металлическое ограждение террасы ОГн-2, грунтование и порошковая окраска согласно эскизному проекту RAL 7021</t>
  </si>
  <si>
    <t>Металлическое лестничное ограждение Ог-1, грунтование и порошковая окраска согласно эскизному проекту RAL 3003
(L=2,94 м.п.)
Поручень: стальной профиль 40х20х2</t>
  </si>
  <si>
    <t>Металлическое лестничное ограждение Ог-2, грунтование и порошковая окраска согласно эскизному проекту RAL 3003
(L=2,25 м.п.)
Поручень: стальной профиль 40х20х2</t>
  </si>
  <si>
    <t>Металлическое лестничное ограждение Ог-3*, грунтование и порошковая окраска согласно эскизному проекту RAL 3003
(L=4,08 м.п.)
Поручень и нижний пояс: стальной профиль 40х20х2;
Опорные стойки: стальной профиль 20х20, 30х20</t>
  </si>
  <si>
    <t>Металлическое лестничное ограждение Ог-4, грунтование и порошковая окраска согласно эскизному проекту RAL 3003
(L=3,97 м.п.)
Поручень и нижний пояс: стальной профиль 40х20х2;
Опорные стойки: стальной профиль 20х20, 30х20</t>
  </si>
  <si>
    <t>Металлическое лестничное ограждение Ог-5, грунтование и порошковая окраска согласно эскизному проекту RAL 3003
(L=50,85 м.п.)
Поручень и нижний пояс: стальной профиль 40х20х2;
Опорные стойки: стальной профиль 20х20, 30х20</t>
  </si>
  <si>
    <t>Металлическое лестничное ограждение Ог-6, грунтование и порошковая окраска согласно эскизному проекту RAL 3003
(L=1,35 м.п.)
Поручень и нижний пояс: стальной профиль 40х20х2;
Опорные стойки: стальной профиль 20х20, 30х20</t>
  </si>
  <si>
    <t>Металлическое лестничное ограждение Ог-7, грунтование и порошковая окраска согласно эскизному проекту RAL 3003
(L=8,37 м.п.)
Поручень и нижний пояс: стальной профиль 40х20х2;
Опорные стойки: стальной профиль 20х20</t>
  </si>
  <si>
    <t>Металлическое ограждение балкона ОГн-2, грунтование и порошковая окраска согласно эскизному проекту RAL 7021</t>
  </si>
  <si>
    <t>Металлическое лестничное ограждение Ог-1, грунтование и порошковая окраска согласно эскизному проекту RAL 3003
(L=8,36 м.п.)
Поручень: стальной профиль 40х20х2</t>
  </si>
  <si>
    <t>Металлическое лестничное ограждение Ог-2, грунтование и порошковая окраска согласно эскизному проекту RAL 3003
(L=4,08 м.п.)
Поручень и нижний пояс: стальной профиль 40х20х2;
Опорные стойки: стальной профиль 20х20, 30х20</t>
  </si>
  <si>
    <t>Металлическое лестничное ограждение Ог-2*, грунтование и порошковая окраска согласно эскизному проекту RAL 3003
(L=4,08 м.п.)
Поручень и нижний пояс: стальной профиль 40х20х2;
Опорные стойки: стальной профиль 20х20, 30х20</t>
  </si>
  <si>
    <t>Металлическое лестничное ограждение Ог-3, грунтование и порошковая окраска согласно эскизному проекту RAL 3003
(L=3,97 м.п.)
Поручень и нижний пояс: стальной профиль 40х20х2;
Опорные стойки: стальной профиль 20х20, 30х20</t>
  </si>
  <si>
    <t>Металлическое лестничное ограждение Ог-4, грунтование и порошковая окраска согласно эскизному проекту RAL 3003
(L=37,29 м.п.)
Поручень и нижний пояс: стальной профиль 40х20х2;
Опорные стойки: стальной профиль 20х20, 30х20</t>
  </si>
  <si>
    <t>Металлическое лестничное ограждение Ог-4*, грунтование и порошковая окраска согласно эскизному проекту RAL 3003
(L=40,68 м.п.)
Поручень и нижний пояс: стальной профиль 40х20х2;
Опорные стойки: стальной профиль 20х20, 30х20</t>
  </si>
  <si>
    <t>Металлическое лестничное ограждение Ог-5, грунтование и порошковая окраска согласно эскизному проекту RAL 3003
(L=1,35 м.п.)
Поручень и нижний пояс: стальной профиль 40х20х2;
Опорные стойки: стальной профиль 20х20, 30х20</t>
  </si>
  <si>
    <t>Металлическое лестничное ограждение Ог-6, грунтование и порошковая окраска согласно эскизному проекту RAL 3003
(L=6,75 м.п.)
Поручень и нижний пояс: стальной профиль 40х20х2;
Опорные стойки: стальной профиль 20х20</t>
  </si>
  <si>
    <t>Металлическое ограждение балкона ОГн-3, грунтование и порошковая окраска согласно эскизному проекту RAL 7021</t>
  </si>
  <si>
    <t>Металлическое ограждение балкона ОГн-4, грунтование и порошковая окраска согласно эскизному проекту RAL 7021</t>
  </si>
  <si>
    <t>Лестинца металлическая ЛМ-1 пожарная тип П1-1 по ГОСТ 53254-2009, грунтование и порошковая окраска согласно эскизному проекту RAL 7021</t>
  </si>
  <si>
    <t>Металлическое лестничное ограждение Ог-2, грунтование и порошковая окраска согласно эскизному проекту RAL 3003
(L=5,00 м.п.)
Поручень: стальной профиль 40х20х2</t>
  </si>
  <si>
    <t>Металлическое лестничное ограждение Ог-2, грунтование и порошковая окраска согласно эскизному проекту RAL 3003
(L=3,48 м.п.)
Поручень и нижний пояс: стальной профиль 40х20х2;
Опорные стойки: стальной профиль 20х20, 30х20</t>
  </si>
  <si>
    <t>Металлическое лестничное ограждение Ог-2*, грунтование и порошковая окраска согласно эскизному проекту RAL 3003
(L=3,78 м.п.)
Поручень и нижний пояс: стальной профиль 40х20х2;
Опорные стойки: стальной профиль 20х20, 30х20</t>
  </si>
  <si>
    <t>Металлическое лестничное ограждение Ог-4, грунтование и порошковая окраска согласно эскизному проекту RAL 3003
(L=4,29 м.п.)
Поручень и нижний пояс: стальной профиль 40х20х2;
Опорные стойки: стальной профиль 20х20, 30х20</t>
  </si>
  <si>
    <t>Металлическое лестничное ограждение Ог-4*, грунтование и порошковая окраска согласно эскизному проекту RAL 3003
(L=4,37 м.п.)
Поручень и нижний пояс: стальной профиль 40х20х2;
Опорные стойки: стальной профиль 20х20, 30х20</t>
  </si>
  <si>
    <t>Металлическое лестничное ограждение Ог-5, грунтование и порошковая окраска согласно эскизному проекту RAL 3003
(L=1,56 м.п.)
Поручень и нижний пояс: стальной профиль 40х20х2;
Опорные стойки: стальной профиль 20х20, 30х20</t>
  </si>
  <si>
    <t>Металлическое лестничное ограждение Ог-6, грунтование и порошковая окраска согласно эскизному проекту RAL 3003
(L=0,81 м.п.)
Поручень и нижний пояс: стальной профиль 40х20х2;
Опорные стойки: стальной профиль 20х20</t>
  </si>
  <si>
    <t>Ограждение кровли ОГк-1 по ГОСТ 25772-2021, грунтование и порошковая окраска согласно эскизному проекту RAL 7021, h=1100 мм</t>
  </si>
  <si>
    <t>Ограждение кровли ОГк-2 по ГОСТ 25772-2021, грунтование и порошковая окраска согласно эскизному проекту RAL 7021, h=800 мм</t>
  </si>
  <si>
    <t>Металлическая лестница ЛМ-2 с переходными площадками, грунтование и порошковая окраска согласно эскизному проекту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</si>
</sst>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indexed="64"/>
      <name val="Times New Roman"/>
      <family val="1"/>
      <charset val="204"/>
    </font>
    <font>
      <b/>
      <i/>
      <sz val="11"/>
      <color theme="0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color rgb="FFC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D4D3D4"/>
        <bgColor rgb="FFD7E2EF"/>
      </patternFill>
    </fill>
    <fill>
      <patternFill patternType="solid">
        <fgColor rgb="FF9ABCDE"/>
        <bgColor indexed="64"/>
      </patternFill>
    </fill>
    <fill>
      <patternFill patternType="solid">
        <fgColor theme="4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2" fillId="0" borderId="0"/>
    <xf numFmtId="43" fontId="12" fillId="0" borderId="0" applyFont="0" applyFill="0" applyBorder="0" applyProtection="0"/>
    <xf numFmtId="0" fontId="14" fillId="0" borderId="0"/>
  </cellStyleXfs>
  <cellXfs count="160">
    <xf numFmtId="0" fontId="0" fillId="0" borderId="0" xfId="0"/>
    <xf numFmtId="43" fontId="16" fillId="4" borderId="16" xfId="1" applyFont="1" applyFill="1" applyBorder="1" applyAlignment="1" applyProtection="1">
      <alignment horizontal="center" vertical="center" wrapText="1"/>
    </xf>
    <xf numFmtId="43" fontId="16" fillId="4" borderId="15" xfId="1" applyFont="1" applyFill="1" applyBorder="1" applyAlignment="1" applyProtection="1">
      <alignment horizontal="center" vertical="center" wrapText="1"/>
    </xf>
    <xf numFmtId="4" fontId="16" fillId="4" borderId="16" xfId="1" applyNumberFormat="1" applyFont="1" applyFill="1" applyBorder="1" applyAlignment="1" applyProtection="1">
      <alignment horizontal="center" vertical="center" wrapText="1"/>
    </xf>
    <xf numFmtId="4" fontId="16" fillId="4" borderId="15" xfId="1" applyNumberFormat="1" applyFont="1" applyFill="1" applyBorder="1" applyAlignment="1" applyProtection="1">
      <alignment horizontal="center" vertical="center" wrapText="1"/>
    </xf>
    <xf numFmtId="4" fontId="16" fillId="4" borderId="19" xfId="1" applyNumberFormat="1" applyFont="1" applyFill="1" applyBorder="1" applyAlignment="1" applyProtection="1">
      <alignment horizontal="center" vertical="center" wrapText="1"/>
    </xf>
    <xf numFmtId="4" fontId="3" fillId="0" borderId="15" xfId="3" applyNumberFormat="1" applyFont="1" applyFill="1" applyBorder="1" applyAlignment="1" applyProtection="1">
      <alignment horizontal="center" vertical="center" wrapText="1"/>
    </xf>
    <xf numFmtId="4" fontId="3" fillId="0" borderId="19" xfId="3" applyNumberFormat="1" applyFont="1" applyFill="1" applyBorder="1" applyAlignment="1" applyProtection="1">
      <alignment horizontal="center" vertical="center" wrapText="1"/>
    </xf>
    <xf numFmtId="4" fontId="3" fillId="0" borderId="17" xfId="1" applyNumberFormat="1" applyFont="1" applyFill="1" applyBorder="1" applyAlignment="1" applyProtection="1">
      <alignment horizontal="center" vertical="center" wrapText="1"/>
    </xf>
    <xf numFmtId="4" fontId="3" fillId="0" borderId="18" xfId="3" applyNumberFormat="1" applyFont="1" applyFill="1" applyBorder="1" applyAlignment="1" applyProtection="1">
      <alignment horizontal="center" vertical="center" wrapText="1"/>
      <protection locked="0"/>
    </xf>
    <xf numFmtId="4" fontId="3" fillId="0" borderId="15" xfId="3" applyNumberFormat="1" applyFont="1" applyFill="1" applyBorder="1" applyAlignment="1" applyProtection="1">
      <alignment horizontal="right" vertical="center"/>
      <protection locked="0"/>
    </xf>
    <xf numFmtId="4" fontId="11" fillId="6" borderId="17" xfId="3" applyNumberFormat="1" applyFont="1" applyFill="1" applyBorder="1" applyAlignment="1" applyProtection="1">
      <alignment horizontal="center" vertical="center" wrapText="1"/>
    </xf>
    <xf numFmtId="4" fontId="11" fillId="6" borderId="15" xfId="3" applyNumberFormat="1" applyFont="1" applyFill="1" applyBorder="1" applyAlignment="1" applyProtection="1">
      <alignment horizontal="center" vertical="center" wrapText="1"/>
    </xf>
    <xf numFmtId="4" fontId="11" fillId="6" borderId="19" xfId="3" applyNumberFormat="1" applyFont="1" applyFill="1" applyBorder="1" applyAlignment="1" applyProtection="1">
      <alignment horizontal="center" vertical="center" wrapText="1"/>
    </xf>
    <xf numFmtId="4" fontId="16" fillId="4" borderId="43" xfId="1" applyNumberFormat="1" applyFont="1" applyFill="1" applyBorder="1" applyAlignment="1" applyProtection="1">
      <alignment horizontal="center" vertical="center" wrapText="1"/>
    </xf>
    <xf numFmtId="4" fontId="16" fillId="4" borderId="17" xfId="1" applyNumberFormat="1" applyFont="1" applyFill="1" applyBorder="1" applyAlignment="1" applyProtection="1">
      <alignment horizontal="center" vertical="center" wrapText="1"/>
    </xf>
    <xf numFmtId="43" fontId="21" fillId="4" borderId="43" xfId="1" applyFont="1" applyFill="1" applyBorder="1" applyAlignment="1" applyProtection="1">
      <alignment horizontal="center" vertical="center" wrapText="1"/>
    </xf>
    <xf numFmtId="4" fontId="11" fillId="6" borderId="16" xfId="3" applyNumberFormat="1" applyFont="1" applyFill="1" applyBorder="1" applyAlignment="1" applyProtection="1">
      <alignment horizontal="center" vertical="center" wrapText="1"/>
    </xf>
    <xf numFmtId="4" fontId="11" fillId="7" borderId="17" xfId="3" applyNumberFormat="1" applyFont="1" applyFill="1" applyBorder="1" applyAlignment="1" applyProtection="1">
      <alignment horizontal="center" vertical="center" wrapText="1"/>
    </xf>
    <xf numFmtId="4" fontId="11" fillId="7" borderId="15" xfId="3" applyNumberFormat="1" applyFont="1" applyFill="1" applyBorder="1" applyAlignment="1" applyProtection="1">
      <alignment horizontal="center" vertical="center" wrapText="1"/>
    </xf>
    <xf numFmtId="4" fontId="11" fillId="7" borderId="19" xfId="3" applyNumberFormat="1" applyFont="1" applyFill="1" applyBorder="1" applyAlignment="1" applyProtection="1">
      <alignment horizontal="center" vertical="center" wrapText="1"/>
    </xf>
    <xf numFmtId="3" fontId="15" fillId="0" borderId="51" xfId="3" applyNumberFormat="1" applyFont="1" applyBorder="1" applyAlignment="1" applyProtection="1">
      <alignment horizontal="center" vertical="center" wrapText="1"/>
    </xf>
    <xf numFmtId="3" fontId="15" fillId="0" borderId="53" xfId="3" applyNumberFormat="1" applyFont="1" applyBorder="1" applyAlignment="1" applyProtection="1">
      <alignment horizontal="center" vertical="center" wrapText="1"/>
    </xf>
    <xf numFmtId="3" fontId="15" fillId="0" borderId="54" xfId="3" applyNumberFormat="1" applyFont="1" applyBorder="1" applyAlignment="1" applyProtection="1">
      <alignment horizontal="center" vertical="center" wrapText="1"/>
    </xf>
    <xf numFmtId="3" fontId="15" fillId="0" borderId="56" xfId="3" applyNumberFormat="1" applyFont="1" applyBorder="1" applyAlignment="1" applyProtection="1">
      <alignment horizontal="center" vertical="center" wrapText="1"/>
    </xf>
    <xf numFmtId="43" fontId="21" fillId="4" borderId="20" xfId="1" applyFont="1" applyFill="1" applyBorder="1" applyAlignment="1" applyProtection="1">
      <alignment horizontal="center" vertical="center" wrapText="1"/>
    </xf>
    <xf numFmtId="49" fontId="3" fillId="0" borderId="0" xfId="0" applyNumberFormat="1" applyFont="1" applyProtection="1"/>
    <xf numFmtId="0" fontId="3" fillId="0" borderId="0" xfId="0" applyFont="1" applyProtection="1"/>
    <xf numFmtId="0" fontId="4" fillId="0" borderId="0" xfId="0" applyFont="1" applyProtection="1"/>
    <xf numFmtId="0" fontId="3" fillId="0" borderId="0" xfId="0" applyFont="1" applyAlignment="1" applyProtection="1">
      <alignment horizontal="right"/>
    </xf>
    <xf numFmtId="0" fontId="1" fillId="0" borderId="0" xfId="0" applyFont="1" applyAlignment="1" applyProtection="1">
      <alignment vertical="center"/>
    </xf>
    <xf numFmtId="0" fontId="0" fillId="0" borderId="0" xfId="0" applyProtection="1"/>
    <xf numFmtId="0" fontId="20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center"/>
    </xf>
    <xf numFmtId="0" fontId="11" fillId="0" borderId="10" xfId="0" applyFont="1" applyBorder="1" applyAlignment="1" applyProtection="1">
      <alignment horizontal="center" vertical="center" wrapText="1"/>
    </xf>
    <xf numFmtId="0" fontId="3" fillId="0" borderId="52" xfId="2" applyFont="1" applyBorder="1" applyAlignment="1" applyProtection="1">
      <alignment horizontal="center" vertical="center" wrapText="1"/>
    </xf>
    <xf numFmtId="0" fontId="3" fillId="0" borderId="53" xfId="2" applyFont="1" applyBorder="1" applyAlignment="1" applyProtection="1">
      <alignment horizontal="center" vertical="center" wrapText="1"/>
    </xf>
    <xf numFmtId="0" fontId="3" fillId="0" borderId="54" xfId="2" applyFont="1" applyBorder="1" applyAlignment="1" applyProtection="1">
      <alignment horizontal="center" vertical="center" wrapText="1"/>
    </xf>
    <xf numFmtId="0" fontId="15" fillId="0" borderId="54" xfId="2" applyFont="1" applyBorder="1" applyAlignment="1" applyProtection="1">
      <alignment horizontal="center" vertical="center" wrapText="1"/>
    </xf>
    <xf numFmtId="0" fontId="15" fillId="0" borderId="55" xfId="2" applyFont="1" applyBorder="1" applyAlignment="1" applyProtection="1">
      <alignment horizontal="center" vertical="center" wrapText="1"/>
    </xf>
    <xf numFmtId="0" fontId="13" fillId="0" borderId="0" xfId="0" applyFont="1" applyAlignment="1" applyProtection="1">
      <alignment vertical="center"/>
    </xf>
    <xf numFmtId="0" fontId="11" fillId="6" borderId="14" xfId="2" applyFont="1" applyFill="1" applyBorder="1" applyAlignment="1" applyProtection="1">
      <alignment horizontal="center" vertical="center" wrapText="1"/>
    </xf>
    <xf numFmtId="0" fontId="11" fillId="6" borderId="18" xfId="2" applyFont="1" applyFill="1" applyBorder="1" applyAlignment="1" applyProtection="1">
      <alignment horizontal="center" vertical="center" wrapText="1"/>
    </xf>
    <xf numFmtId="0" fontId="11" fillId="6" borderId="15" xfId="2" applyFont="1" applyFill="1" applyBorder="1" applyAlignment="1" applyProtection="1">
      <alignment horizontal="center" vertical="center"/>
    </xf>
    <xf numFmtId="0" fontId="11" fillId="6" borderId="15" xfId="2" applyFont="1" applyFill="1" applyBorder="1" applyAlignment="1" applyProtection="1">
      <alignment horizontal="left" vertical="center" wrapText="1"/>
    </xf>
    <xf numFmtId="0" fontId="11" fillId="6" borderId="15" xfId="2" applyFont="1" applyFill="1" applyBorder="1" applyAlignment="1" applyProtection="1">
      <alignment horizontal="center" vertical="center" wrapText="1"/>
    </xf>
    <xf numFmtId="0" fontId="11" fillId="6" borderId="16" xfId="2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/>
    </xf>
    <xf numFmtId="0" fontId="22" fillId="0" borderId="0" xfId="0" applyFont="1" applyProtection="1"/>
    <xf numFmtId="0" fontId="11" fillId="7" borderId="14" xfId="2" applyFont="1" applyFill="1" applyBorder="1" applyAlignment="1" applyProtection="1">
      <alignment horizontal="center" vertical="center" wrapText="1"/>
    </xf>
    <xf numFmtId="0" fontId="11" fillId="7" borderId="18" xfId="2" applyFont="1" applyFill="1" applyBorder="1" applyAlignment="1" applyProtection="1">
      <alignment horizontal="center" vertical="center" wrapText="1"/>
    </xf>
    <xf numFmtId="0" fontId="11" fillId="7" borderId="15" xfId="2" applyFont="1" applyFill="1" applyBorder="1" applyAlignment="1" applyProtection="1">
      <alignment horizontal="center" vertical="center"/>
    </xf>
    <xf numFmtId="0" fontId="11" fillId="7" borderId="15" xfId="2" applyFont="1" applyFill="1" applyBorder="1" applyAlignment="1" applyProtection="1">
      <alignment horizontal="left" vertical="center" wrapText="1"/>
    </xf>
    <xf numFmtId="0" fontId="11" fillId="7" borderId="15" xfId="2" applyFont="1" applyFill="1" applyBorder="1" applyAlignment="1" applyProtection="1">
      <alignment horizontal="center" vertical="center" wrapText="1"/>
    </xf>
    <xf numFmtId="0" fontId="11" fillId="7" borderId="16" xfId="2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vertical="center"/>
    </xf>
    <xf numFmtId="0" fontId="24" fillId="0" borderId="0" xfId="0" applyFont="1" applyProtection="1"/>
    <xf numFmtId="0" fontId="3" fillId="0" borderId="14" xfId="2" applyFont="1" applyFill="1" applyBorder="1" applyAlignment="1" applyProtection="1">
      <alignment horizontal="center" vertical="center" wrapText="1"/>
    </xf>
    <xf numFmtId="0" fontId="3" fillId="0" borderId="18" xfId="2" applyFont="1" applyFill="1" applyBorder="1" applyAlignment="1" applyProtection="1">
      <alignment horizontal="center" vertical="center" wrapText="1"/>
    </xf>
    <xf numFmtId="0" fontId="3" fillId="0" borderId="15" xfId="2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 wrapText="1"/>
    </xf>
    <xf numFmtId="0" fontId="3" fillId="0" borderId="15" xfId="2" applyFont="1" applyFill="1" applyBorder="1" applyAlignment="1" applyProtection="1">
      <alignment horizontal="center" vertical="center" wrapText="1"/>
    </xf>
    <xf numFmtId="0" fontId="3" fillId="0" borderId="16" xfId="2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vertical="center"/>
    </xf>
    <xf numFmtId="0" fontId="18" fillId="0" borderId="0" xfId="0" applyFont="1" applyFill="1" applyProtection="1"/>
    <xf numFmtId="0" fontId="3" fillId="0" borderId="15" xfId="2" applyFont="1" applyFill="1" applyBorder="1" applyAlignment="1" applyProtection="1">
      <alignment horizontal="left" vertical="center" wrapText="1"/>
    </xf>
    <xf numFmtId="0" fontId="4" fillId="0" borderId="15" xfId="2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vertical="center"/>
    </xf>
    <xf numFmtId="0" fontId="23" fillId="0" borderId="0" xfId="0" applyFont="1" applyFill="1" applyProtection="1"/>
    <xf numFmtId="49" fontId="17" fillId="4" borderId="18" xfId="0" applyNumberFormat="1" applyFont="1" applyFill="1" applyBorder="1" applyAlignment="1" applyProtection="1">
      <alignment horizontal="left" vertical="center" wrapText="1"/>
    </xf>
    <xf numFmtId="4" fontId="16" fillId="4" borderId="17" xfId="1" applyNumberFormat="1" applyFont="1" applyFill="1" applyBorder="1" applyAlignment="1" applyProtection="1">
      <alignment horizontal="right" vertical="center" wrapText="1"/>
    </xf>
    <xf numFmtId="4" fontId="16" fillId="4" borderId="18" xfId="1" applyNumberFormat="1" applyFont="1" applyFill="1" applyBorder="1" applyAlignment="1" applyProtection="1">
      <alignment horizontal="right" vertical="center" wrapText="1"/>
    </xf>
    <xf numFmtId="4" fontId="16" fillId="4" borderId="15" xfId="1" applyNumberFormat="1" applyFont="1" applyFill="1" applyBorder="1" applyAlignment="1" applyProtection="1">
      <alignment horizontal="right" vertical="center" wrapText="1"/>
    </xf>
    <xf numFmtId="49" fontId="11" fillId="5" borderId="21" xfId="0" applyNumberFormat="1" applyFont="1" applyFill="1" applyBorder="1" applyAlignment="1" applyProtection="1">
      <alignment vertical="center"/>
    </xf>
    <xf numFmtId="49" fontId="11" fillId="5" borderId="22" xfId="0" applyNumberFormat="1" applyFont="1" applyFill="1" applyBorder="1" applyAlignment="1" applyProtection="1">
      <alignment vertical="center"/>
    </xf>
    <xf numFmtId="49" fontId="11" fillId="5" borderId="13" xfId="0" applyNumberFormat="1" applyFont="1" applyFill="1" applyBorder="1" applyAlignment="1" applyProtection="1">
      <alignment vertical="center"/>
    </xf>
    <xf numFmtId="49" fontId="10" fillId="5" borderId="22" xfId="0" applyNumberFormat="1" applyFont="1" applyFill="1" applyBorder="1" applyAlignment="1" applyProtection="1">
      <alignment horizontal="center" vertical="center"/>
    </xf>
    <xf numFmtId="49" fontId="10" fillId="5" borderId="22" xfId="0" applyNumberFormat="1" applyFont="1" applyFill="1" applyBorder="1" applyAlignment="1" applyProtection="1">
      <alignment vertical="center"/>
    </xf>
    <xf numFmtId="49" fontId="10" fillId="5" borderId="23" xfId="0" applyNumberFormat="1" applyFont="1" applyFill="1" applyBorder="1" applyAlignment="1" applyProtection="1">
      <alignment vertical="center"/>
    </xf>
    <xf numFmtId="0" fontId="3" fillId="0" borderId="24" xfId="0" applyFont="1" applyBorder="1" applyAlignment="1" applyProtection="1">
      <alignment horizontal="center" vertical="center" wrapText="1"/>
    </xf>
    <xf numFmtId="0" fontId="3" fillId="0" borderId="25" xfId="0" applyFont="1" applyBorder="1" applyAlignment="1" applyProtection="1">
      <alignment vertical="center" wrapText="1"/>
    </xf>
    <xf numFmtId="0" fontId="3" fillId="0" borderId="6" xfId="0" applyFont="1" applyBorder="1" applyAlignment="1" applyProtection="1">
      <alignment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3" fillId="0" borderId="31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vertical="center" wrapText="1"/>
    </xf>
    <xf numFmtId="0" fontId="18" fillId="0" borderId="0" xfId="2" applyFont="1" applyAlignment="1" applyProtection="1">
      <alignment horizontal="center" vertical="center"/>
    </xf>
    <xf numFmtId="0" fontId="18" fillId="0" borderId="0" xfId="2" applyFont="1" applyAlignment="1" applyProtection="1">
      <alignment vertical="center"/>
    </xf>
    <xf numFmtId="0" fontId="18" fillId="0" borderId="0" xfId="2" applyFont="1" applyAlignment="1" applyProtection="1">
      <alignment vertical="center" wrapText="1"/>
    </xf>
    <xf numFmtId="4" fontId="18" fillId="0" borderId="0" xfId="2" applyNumberFormat="1" applyFont="1" applyAlignment="1" applyProtection="1">
      <alignment vertical="center"/>
    </xf>
    <xf numFmtId="0" fontId="18" fillId="0" borderId="0" xfId="2" applyFont="1" applyAlignment="1" applyProtection="1">
      <alignment horizontal="right" vertical="center"/>
    </xf>
    <xf numFmtId="0" fontId="19" fillId="0" borderId="0" xfId="0" applyFont="1" applyProtection="1"/>
    <xf numFmtId="0" fontId="10" fillId="0" borderId="0" xfId="0" applyFont="1" applyProtection="1"/>
    <xf numFmtId="4" fontId="11" fillId="6" borderId="18" xfId="3" applyNumberFormat="1" applyFont="1" applyFill="1" applyBorder="1" applyAlignment="1" applyProtection="1">
      <alignment horizontal="center" vertical="center" wrapText="1"/>
      <protection locked="0"/>
    </xf>
    <xf numFmtId="4" fontId="11" fillId="6" borderId="15" xfId="3" applyNumberFormat="1" applyFont="1" applyFill="1" applyBorder="1" applyAlignment="1" applyProtection="1">
      <alignment horizontal="center" vertical="center" wrapText="1"/>
      <protection locked="0"/>
    </xf>
    <xf numFmtId="4" fontId="11" fillId="7" borderId="18" xfId="3" applyNumberFormat="1" applyFont="1" applyFill="1" applyBorder="1" applyAlignment="1" applyProtection="1">
      <alignment horizontal="center" vertical="center" wrapText="1"/>
      <protection locked="0"/>
    </xf>
    <xf numFmtId="4" fontId="11" fillId="7" borderId="15" xfId="3" applyNumberFormat="1" applyFont="1" applyFill="1" applyBorder="1" applyAlignment="1" applyProtection="1">
      <alignment horizontal="center" vertical="center" wrapText="1"/>
      <protection locked="0"/>
    </xf>
    <xf numFmtId="4" fontId="3" fillId="0" borderId="15" xfId="3" applyNumberFormat="1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vertical="center"/>
      <protection locked="0"/>
    </xf>
    <xf numFmtId="0" fontId="11" fillId="7" borderId="17" xfId="2" applyFont="1" applyFill="1" applyBorder="1" applyAlignment="1" applyProtection="1">
      <alignment horizontal="left" vertical="center" wrapText="1"/>
      <protection locked="0"/>
    </xf>
    <xf numFmtId="0" fontId="3" fillId="0" borderId="17" xfId="0" applyFont="1" applyFill="1" applyBorder="1" applyAlignment="1" applyProtection="1">
      <alignment horizontal="left" vertical="center"/>
      <protection locked="0"/>
    </xf>
    <xf numFmtId="0" fontId="3" fillId="0" borderId="44" xfId="0" applyFont="1" applyFill="1" applyBorder="1" applyAlignment="1" applyProtection="1">
      <alignment horizontal="left" vertical="center"/>
      <protection locked="0"/>
    </xf>
    <xf numFmtId="164" fontId="3" fillId="0" borderId="17" xfId="1" applyNumberFormat="1" applyFont="1" applyFill="1" applyBorder="1" applyAlignment="1" applyProtection="1">
      <alignment horizontal="center" vertical="center" wrapText="1"/>
    </xf>
    <xf numFmtId="0" fontId="26" fillId="0" borderId="17" xfId="0" applyFont="1" applyFill="1" applyBorder="1" applyAlignment="1" applyProtection="1">
      <alignment horizontal="left" vertical="center"/>
      <protection locked="0"/>
    </xf>
    <xf numFmtId="164" fontId="3" fillId="0" borderId="17" xfId="3" applyNumberFormat="1" applyFont="1" applyFill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3" fillId="0" borderId="26" xfId="0" applyFont="1" applyBorder="1" applyAlignment="1" applyProtection="1">
      <alignment vertical="center" wrapText="1"/>
      <protection locked="0"/>
    </xf>
    <xf numFmtId="0" fontId="3" fillId="0" borderId="26" xfId="0" applyFont="1" applyBorder="1" applyProtection="1">
      <protection locked="0"/>
    </xf>
    <xf numFmtId="0" fontId="3" fillId="0" borderId="27" xfId="0" applyFont="1" applyBorder="1" applyAlignment="1" applyProtection="1">
      <alignment vertical="center" wrapText="1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Protection="1">
      <protection locked="0"/>
    </xf>
    <xf numFmtId="0" fontId="10" fillId="0" borderId="19" xfId="0" applyFont="1" applyBorder="1" applyProtection="1">
      <protection locked="0"/>
    </xf>
    <xf numFmtId="0" fontId="3" fillId="0" borderId="28" xfId="0" applyFont="1" applyBorder="1" applyAlignment="1" applyProtection="1">
      <alignment vertical="center" wrapText="1"/>
      <protection locked="0"/>
    </xf>
    <xf numFmtId="0" fontId="3" fillId="0" borderId="28" xfId="0" applyFont="1" applyBorder="1" applyProtection="1">
      <protection locked="0"/>
    </xf>
    <xf numFmtId="0" fontId="3" fillId="0" borderId="29" xfId="0" applyFont="1" applyBorder="1" applyAlignment="1" applyProtection="1">
      <alignment vertical="center" wrapText="1"/>
      <protection locked="0"/>
    </xf>
    <xf numFmtId="0" fontId="3" fillId="0" borderId="28" xfId="0" applyFont="1" applyBorder="1" applyAlignment="1" applyProtection="1">
      <alignment horizontal="left" vertical="center" wrapText="1"/>
      <protection locked="0"/>
    </xf>
    <xf numFmtId="0" fontId="3" fillId="0" borderId="32" xfId="0" applyFont="1" applyBorder="1" applyAlignment="1" applyProtection="1">
      <alignment vertical="center" wrapText="1"/>
      <protection locked="0"/>
    </xf>
    <xf numFmtId="0" fontId="3" fillId="0" borderId="32" xfId="0" applyFont="1" applyBorder="1" applyProtection="1">
      <protection locked="0"/>
    </xf>
    <xf numFmtId="0" fontId="3" fillId="0" borderId="33" xfId="0" applyFont="1" applyBorder="1" applyAlignment="1" applyProtection="1">
      <alignment vertical="center" wrapText="1"/>
      <protection locked="0"/>
    </xf>
    <xf numFmtId="0" fontId="4" fillId="0" borderId="34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Protection="1">
      <protection locked="0"/>
    </xf>
    <xf numFmtId="0" fontId="10" fillId="0" borderId="36" xfId="0" applyFont="1" applyBorder="1" applyProtection="1">
      <protection locked="0"/>
    </xf>
    <xf numFmtId="0" fontId="10" fillId="3" borderId="3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0" fillId="3" borderId="13" xfId="0" applyFont="1" applyFill="1" applyBorder="1" applyAlignment="1" applyProtection="1">
      <alignment horizontal="center" vertical="center" wrapText="1"/>
    </xf>
    <xf numFmtId="49" fontId="3" fillId="0" borderId="0" xfId="0" applyNumberFormat="1" applyFont="1" applyAlignment="1" applyProtection="1">
      <alignment horizontal="left" vertical="center" wrapText="1"/>
    </xf>
    <xf numFmtId="49" fontId="3" fillId="0" borderId="0" xfId="0" applyNumberFormat="1" applyFont="1" applyAlignment="1" applyProtection="1">
      <alignment horizontal="left" vertical="center"/>
    </xf>
    <xf numFmtId="49" fontId="17" fillId="4" borderId="20" xfId="0" applyNumberFormat="1" applyFont="1" applyFill="1" applyBorder="1" applyAlignment="1" applyProtection="1">
      <alignment horizontal="center" vertical="center" wrapText="1"/>
    </xf>
    <xf numFmtId="49" fontId="17" fillId="4" borderId="18" xfId="0" applyNumberFormat="1" applyFont="1" applyFill="1" applyBorder="1" applyAlignment="1" applyProtection="1">
      <alignment horizontal="center" vertical="center" wrapText="1"/>
    </xf>
    <xf numFmtId="0" fontId="3" fillId="0" borderId="47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48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49" xfId="0" applyFont="1" applyBorder="1" applyAlignment="1" applyProtection="1">
      <alignment horizontal="center" vertical="center" wrapText="1"/>
    </xf>
    <xf numFmtId="0" fontId="3" fillId="0" borderId="50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49" fontId="11" fillId="0" borderId="39" xfId="0" applyNumberFormat="1" applyFont="1" applyBorder="1" applyAlignment="1" applyProtection="1">
      <alignment horizontal="center" vertical="center" wrapText="1"/>
    </xf>
    <xf numFmtId="49" fontId="11" fillId="0" borderId="30" xfId="0" applyNumberFormat="1" applyFont="1" applyBorder="1" applyAlignment="1" applyProtection="1">
      <alignment horizontal="center" vertical="center" wrapText="1"/>
    </xf>
    <xf numFmtId="49" fontId="11" fillId="0" borderId="37" xfId="0" applyNumberFormat="1" applyFont="1" applyBorder="1" applyAlignment="1" applyProtection="1">
      <alignment horizontal="center" vertical="center" wrapText="1"/>
    </xf>
    <xf numFmtId="49" fontId="11" fillId="0" borderId="38" xfId="0" applyNumberFormat="1" applyFont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49" fontId="11" fillId="0" borderId="45" xfId="0" applyNumberFormat="1" applyFont="1" applyBorder="1" applyAlignment="1" applyProtection="1">
      <alignment horizontal="center" vertical="center" wrapText="1"/>
    </xf>
    <xf numFmtId="49" fontId="11" fillId="0" borderId="46" xfId="0" applyNumberFormat="1" applyFont="1" applyBorder="1" applyAlignment="1" applyProtection="1">
      <alignment horizontal="center" vertical="center" wrapText="1"/>
    </xf>
    <xf numFmtId="0" fontId="11" fillId="0" borderId="40" xfId="0" applyFont="1" applyBorder="1" applyAlignment="1" applyProtection="1">
      <alignment horizontal="center" vertical="center" wrapText="1"/>
    </xf>
    <xf numFmtId="0" fontId="11" fillId="0" borderId="41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42" xfId="0" applyFont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</xf>
  </cellXfs>
  <cellStyles count="5">
    <cellStyle name="Обычный" xfId="0" builtinId="0"/>
    <cellStyle name="Обычный 2" xfId="2" xr:uid="{AD7AB241-F3E2-4B59-963C-C217D02C43E7}"/>
    <cellStyle name="Обычный 3 2" xfId="4" xr:uid="{6DC2A03D-F5FF-429F-B37D-6AB0FBEDA160}"/>
    <cellStyle name="Финансовый" xfId="1" builtinId="3"/>
    <cellStyle name="Финансовый 2" xfId="3" xr:uid="{A460621A-9004-4F05-9D65-B81E33556C78}"/>
  </cellStyles>
  <dxfs count="0"/>
  <tableStyles count="0" defaultTableStyle="TableStyleMedium2" defaultPivotStyle="PivotStyleLight16"/>
  <colors>
    <mruColors>
      <color rgb="FF9ABCDE"/>
      <color rgb="FF7EA9D4"/>
      <color rgb="FF4986C3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BE51-B973-41F0-B72C-0B19C6A24CF4}">
  <dimension ref="A1:P51"/>
  <sheetViews>
    <sheetView tabSelected="1" zoomScale="90" zoomScaleNormal="90" workbookViewId="0"/>
  </sheetViews>
  <sheetFormatPr defaultColWidth="9.140625" defaultRowHeight="15" x14ac:dyDescent="0.25"/>
  <cols>
    <col min="1" max="1" width="9.5703125" style="48" customWidth="1"/>
    <col min="2" max="2" width="2.7109375" style="48" bestFit="1" customWidth="1"/>
    <col min="3" max="3" width="13.5703125" style="31" bestFit="1" customWidth="1"/>
    <col min="4" max="4" width="42.85546875" style="31" customWidth="1"/>
    <col min="5" max="5" width="17" style="31" customWidth="1"/>
    <col min="6" max="6" width="9.7109375" style="31" customWidth="1"/>
    <col min="7" max="7" width="9.5703125" style="31" customWidth="1"/>
    <col min="8" max="8" width="10.7109375" style="31" customWidth="1"/>
    <col min="9" max="10" width="13.7109375" style="31" customWidth="1"/>
    <col min="11" max="11" width="14.7109375" style="31" customWidth="1"/>
    <col min="12" max="12" width="13.28515625" style="31" customWidth="1"/>
    <col min="13" max="13" width="14.7109375" style="31" customWidth="1"/>
    <col min="14" max="14" width="17.28515625" style="31" customWidth="1"/>
    <col min="15" max="15" width="2.7109375" style="31" customWidth="1"/>
    <col min="16" max="16" width="62.140625" style="31" customWidth="1"/>
    <col min="17" max="16384" width="9.140625" style="31"/>
  </cols>
  <sheetData>
    <row r="1" spans="1:16" x14ac:dyDescent="0.25">
      <c r="A1" s="26"/>
      <c r="B1" s="26"/>
      <c r="C1" s="26"/>
      <c r="D1" s="27"/>
      <c r="E1" s="27"/>
      <c r="F1" s="27"/>
      <c r="G1" s="27"/>
      <c r="H1" s="27"/>
      <c r="I1" s="28"/>
      <c r="J1" s="28"/>
      <c r="K1" s="28"/>
      <c r="L1" s="28"/>
      <c r="M1" s="28"/>
      <c r="N1" s="29" t="s">
        <v>0</v>
      </c>
      <c r="O1" s="30"/>
      <c r="P1" s="30"/>
    </row>
    <row r="2" spans="1:16" x14ac:dyDescent="0.25">
      <c r="A2" s="26"/>
      <c r="B2" s="26"/>
      <c r="C2" s="26"/>
      <c r="D2" s="27"/>
      <c r="E2" s="27"/>
      <c r="F2" s="27"/>
      <c r="G2" s="27"/>
      <c r="H2" s="27"/>
      <c r="I2" s="28"/>
      <c r="J2" s="28"/>
      <c r="K2" s="28"/>
      <c r="L2" s="28"/>
      <c r="M2" s="28"/>
      <c r="N2" s="29" t="s">
        <v>1</v>
      </c>
      <c r="O2" s="30"/>
      <c r="P2" s="30"/>
    </row>
    <row r="3" spans="1:16" ht="18.75" x14ac:dyDescent="0.25">
      <c r="A3" s="139" t="s">
        <v>2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30"/>
      <c r="P3" s="30"/>
    </row>
    <row r="4" spans="1:16" ht="15.75" x14ac:dyDescent="0.25">
      <c r="A4" s="140" t="s">
        <v>45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30"/>
      <c r="P4" s="30"/>
    </row>
    <row r="5" spans="1:16" ht="15.75" x14ac:dyDescent="0.25">
      <c r="A5" s="141" t="s">
        <v>38</v>
      </c>
      <c r="B5" s="141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30"/>
      <c r="P5" s="30"/>
    </row>
    <row r="6" spans="1:16" ht="15.75" x14ac:dyDescent="0.25">
      <c r="A6" s="32"/>
      <c r="B6" s="32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30"/>
      <c r="P6" s="30"/>
    </row>
    <row r="7" spans="1:16" ht="16.5" thickBot="1" x14ac:dyDescent="0.3">
      <c r="A7" s="33"/>
      <c r="B7" s="33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30"/>
      <c r="P7" s="30"/>
    </row>
    <row r="8" spans="1:16" x14ac:dyDescent="0.25">
      <c r="A8" s="143" t="s">
        <v>34</v>
      </c>
      <c r="B8" s="153"/>
      <c r="C8" s="145" t="s">
        <v>3</v>
      </c>
      <c r="D8" s="147" t="s">
        <v>4</v>
      </c>
      <c r="E8" s="147" t="s">
        <v>5</v>
      </c>
      <c r="F8" s="147" t="s">
        <v>6</v>
      </c>
      <c r="G8" s="149" t="s">
        <v>7</v>
      </c>
      <c r="H8" s="151" t="s">
        <v>8</v>
      </c>
      <c r="I8" s="155" t="s">
        <v>36</v>
      </c>
      <c r="J8" s="156"/>
      <c r="K8" s="156" t="s">
        <v>10</v>
      </c>
      <c r="L8" s="156" t="s">
        <v>11</v>
      </c>
      <c r="M8" s="156"/>
      <c r="N8" s="158" t="s">
        <v>12</v>
      </c>
      <c r="O8" s="27" t="s">
        <v>13</v>
      </c>
      <c r="P8" s="126" t="s">
        <v>9</v>
      </c>
    </row>
    <row r="9" spans="1:16" ht="26.25" thickBot="1" x14ac:dyDescent="0.3">
      <c r="A9" s="144"/>
      <c r="B9" s="154"/>
      <c r="C9" s="146"/>
      <c r="D9" s="148"/>
      <c r="E9" s="148"/>
      <c r="F9" s="148"/>
      <c r="G9" s="150"/>
      <c r="H9" s="152"/>
      <c r="I9" s="34" t="s">
        <v>14</v>
      </c>
      <c r="J9" s="107" t="s">
        <v>15</v>
      </c>
      <c r="K9" s="157"/>
      <c r="L9" s="107" t="s">
        <v>14</v>
      </c>
      <c r="M9" s="107" t="s">
        <v>15</v>
      </c>
      <c r="N9" s="159"/>
      <c r="O9" s="30"/>
      <c r="P9" s="127"/>
    </row>
    <row r="10" spans="1:16" ht="15.75" thickBot="1" x14ac:dyDescent="0.3">
      <c r="A10" s="35">
        <v>1</v>
      </c>
      <c r="B10" s="36"/>
      <c r="C10" s="37">
        <v>2</v>
      </c>
      <c r="D10" s="38">
        <v>3</v>
      </c>
      <c r="E10" s="38">
        <v>4</v>
      </c>
      <c r="F10" s="38">
        <v>5</v>
      </c>
      <c r="G10" s="39">
        <v>6</v>
      </c>
      <c r="H10" s="21">
        <v>7</v>
      </c>
      <c r="I10" s="22">
        <v>8</v>
      </c>
      <c r="J10" s="23">
        <v>9</v>
      </c>
      <c r="K10" s="23">
        <v>10</v>
      </c>
      <c r="L10" s="23">
        <v>11</v>
      </c>
      <c r="M10" s="23">
        <v>12</v>
      </c>
      <c r="N10" s="24">
        <v>13</v>
      </c>
      <c r="O10" s="40"/>
      <c r="P10" s="128"/>
    </row>
    <row r="11" spans="1:16" s="48" customFormat="1" ht="27" customHeight="1" x14ac:dyDescent="0.25">
      <c r="A11" s="41">
        <v>1</v>
      </c>
      <c r="B11" s="42"/>
      <c r="C11" s="43" t="s">
        <v>61</v>
      </c>
      <c r="D11" s="44" t="s">
        <v>60</v>
      </c>
      <c r="E11" s="45"/>
      <c r="F11" s="45"/>
      <c r="G11" s="46"/>
      <c r="H11" s="11"/>
      <c r="I11" s="92"/>
      <c r="J11" s="93"/>
      <c r="K11" s="17"/>
      <c r="L11" s="12"/>
      <c r="M11" s="12"/>
      <c r="N11" s="13"/>
      <c r="O11" s="47"/>
      <c r="P11" s="97"/>
    </row>
    <row r="12" spans="1:16" s="56" customFormat="1" ht="38.25" x14ac:dyDescent="0.25">
      <c r="A12" s="49">
        <v>2</v>
      </c>
      <c r="B12" s="50" t="s">
        <v>43</v>
      </c>
      <c r="C12" s="51" t="s">
        <v>58</v>
      </c>
      <c r="D12" s="52" t="s">
        <v>59</v>
      </c>
      <c r="E12" s="53" t="s">
        <v>16</v>
      </c>
      <c r="F12" s="53" t="s">
        <v>18</v>
      </c>
      <c r="G12" s="54">
        <v>1</v>
      </c>
      <c r="H12" s="18">
        <f>H13</f>
        <v>1</v>
      </c>
      <c r="I12" s="94"/>
      <c r="J12" s="95"/>
      <c r="K12" s="19">
        <f>J12</f>
        <v>0</v>
      </c>
      <c r="L12" s="19"/>
      <c r="M12" s="19">
        <f>H12*J12</f>
        <v>0</v>
      </c>
      <c r="N12" s="20">
        <f>M12</f>
        <v>0</v>
      </c>
      <c r="O12" s="55"/>
      <c r="P12" s="98" t="s">
        <v>48</v>
      </c>
    </row>
    <row r="13" spans="1:16" s="64" customFormat="1" ht="38.25" x14ac:dyDescent="0.25">
      <c r="A13" s="57">
        <v>3</v>
      </c>
      <c r="B13" s="58" t="s">
        <v>44</v>
      </c>
      <c r="C13" s="59"/>
      <c r="D13" s="60" t="s">
        <v>69</v>
      </c>
      <c r="E13" s="61" t="s">
        <v>17</v>
      </c>
      <c r="F13" s="61" t="s">
        <v>18</v>
      </c>
      <c r="G13" s="62">
        <v>1</v>
      </c>
      <c r="H13" s="8">
        <v>1</v>
      </c>
      <c r="I13" s="9"/>
      <c r="J13" s="10"/>
      <c r="K13" s="6">
        <f>I13</f>
        <v>0</v>
      </c>
      <c r="L13" s="6">
        <f>H13*I13</f>
        <v>0</v>
      </c>
      <c r="M13" s="6"/>
      <c r="N13" s="7">
        <f>L13</f>
        <v>0</v>
      </c>
      <c r="O13" s="63"/>
      <c r="P13" s="102"/>
    </row>
    <row r="14" spans="1:16" s="56" customFormat="1" ht="38.25" x14ac:dyDescent="0.25">
      <c r="A14" s="49">
        <v>4</v>
      </c>
      <c r="B14" s="50" t="s">
        <v>43</v>
      </c>
      <c r="C14" s="51" t="s">
        <v>63</v>
      </c>
      <c r="D14" s="52" t="s">
        <v>62</v>
      </c>
      <c r="E14" s="53" t="s">
        <v>16</v>
      </c>
      <c r="F14" s="53" t="s">
        <v>70</v>
      </c>
      <c r="G14" s="54">
        <v>1</v>
      </c>
      <c r="H14" s="18">
        <f>ROUND(3.91+14.47+0.29+4.73+5.67+4.27+33+29.7+3.61+1.35,2)</f>
        <v>101</v>
      </c>
      <c r="I14" s="94"/>
      <c r="J14" s="95"/>
      <c r="K14" s="19">
        <f>J14</f>
        <v>0</v>
      </c>
      <c r="L14" s="19"/>
      <c r="M14" s="19">
        <f>H14*J14</f>
        <v>0</v>
      </c>
      <c r="N14" s="20">
        <f>M14</f>
        <v>0</v>
      </c>
      <c r="O14" s="55"/>
      <c r="P14" s="98" t="s">
        <v>46</v>
      </c>
    </row>
    <row r="15" spans="1:16" s="64" customFormat="1" ht="76.5" x14ac:dyDescent="0.25">
      <c r="A15" s="57">
        <v>5</v>
      </c>
      <c r="B15" s="58" t="s">
        <v>44</v>
      </c>
      <c r="C15" s="59"/>
      <c r="D15" s="65" t="s">
        <v>72</v>
      </c>
      <c r="E15" s="61" t="s">
        <v>17</v>
      </c>
      <c r="F15" s="61" t="s">
        <v>71</v>
      </c>
      <c r="G15" s="62">
        <v>1</v>
      </c>
      <c r="H15" s="103">
        <f>ROUND((0.0017+0.03925*0.015*2)*3.91,3)</f>
        <v>1.0999999999999999E-2</v>
      </c>
      <c r="I15" s="9"/>
      <c r="J15" s="96"/>
      <c r="K15" s="6">
        <f>I15</f>
        <v>0</v>
      </c>
      <c r="L15" s="6">
        <f t="shared" ref="L15:L24" si="0">H15*I15</f>
        <v>0</v>
      </c>
      <c r="M15" s="6"/>
      <c r="N15" s="7">
        <f>L15</f>
        <v>0</v>
      </c>
      <c r="O15" s="63"/>
      <c r="P15" s="99"/>
    </row>
    <row r="16" spans="1:16" s="64" customFormat="1" ht="76.5" x14ac:dyDescent="0.25">
      <c r="A16" s="57">
        <v>6</v>
      </c>
      <c r="B16" s="58" t="s">
        <v>44</v>
      </c>
      <c r="C16" s="59"/>
      <c r="D16" s="65" t="s">
        <v>73</v>
      </c>
      <c r="E16" s="61" t="s">
        <v>17</v>
      </c>
      <c r="F16" s="61" t="s">
        <v>71</v>
      </c>
      <c r="G16" s="62">
        <v>1</v>
      </c>
      <c r="H16" s="103">
        <f>ROUND((0.0017+0.03925*0.015*2)*14.47,3)</f>
        <v>4.2000000000000003E-2</v>
      </c>
      <c r="I16" s="9"/>
      <c r="J16" s="96"/>
      <c r="K16" s="6">
        <f t="shared" ref="K16:K24" si="1">I16</f>
        <v>0</v>
      </c>
      <c r="L16" s="6">
        <f t="shared" si="0"/>
        <v>0</v>
      </c>
      <c r="M16" s="6"/>
      <c r="N16" s="7">
        <f t="shared" ref="N16:N24" si="2">L16</f>
        <v>0</v>
      </c>
      <c r="O16" s="63"/>
      <c r="P16" s="99"/>
    </row>
    <row r="17" spans="1:16" s="64" customFormat="1" ht="76.5" x14ac:dyDescent="0.25">
      <c r="A17" s="57">
        <v>7</v>
      </c>
      <c r="B17" s="58" t="s">
        <v>44</v>
      </c>
      <c r="C17" s="59"/>
      <c r="D17" s="65" t="s">
        <v>74</v>
      </c>
      <c r="E17" s="61" t="s">
        <v>17</v>
      </c>
      <c r="F17" s="61" t="s">
        <v>71</v>
      </c>
      <c r="G17" s="62">
        <v>1</v>
      </c>
      <c r="H17" s="103">
        <f>ROUND((0.0017+0.03925*0.015*1)*0.29,3)</f>
        <v>1E-3</v>
      </c>
      <c r="I17" s="9"/>
      <c r="J17" s="96"/>
      <c r="K17" s="6">
        <f t="shared" si="1"/>
        <v>0</v>
      </c>
      <c r="L17" s="6">
        <f t="shared" si="0"/>
        <v>0</v>
      </c>
      <c r="M17" s="6"/>
      <c r="N17" s="7">
        <f t="shared" si="2"/>
        <v>0</v>
      </c>
      <c r="O17" s="63"/>
      <c r="P17" s="99"/>
    </row>
    <row r="18" spans="1:16" s="68" customFormat="1" ht="102" x14ac:dyDescent="0.25">
      <c r="A18" s="57">
        <v>8</v>
      </c>
      <c r="B18" s="58" t="s">
        <v>44</v>
      </c>
      <c r="C18" s="66"/>
      <c r="D18" s="65" t="s">
        <v>75</v>
      </c>
      <c r="E18" s="61" t="s">
        <v>17</v>
      </c>
      <c r="F18" s="61" t="s">
        <v>71</v>
      </c>
      <c r="G18" s="62">
        <v>1</v>
      </c>
      <c r="H18" s="103">
        <f>ROUND((0.0017+0.0017+1.35*4*0.00139+1.35*6*0.001075+0.03925*0.015*4)*4.73,3)</f>
        <v>0.104</v>
      </c>
      <c r="I18" s="9"/>
      <c r="J18" s="96"/>
      <c r="K18" s="6">
        <f t="shared" si="1"/>
        <v>0</v>
      </c>
      <c r="L18" s="6">
        <f t="shared" si="0"/>
        <v>0</v>
      </c>
      <c r="M18" s="6"/>
      <c r="N18" s="7">
        <f t="shared" si="2"/>
        <v>0</v>
      </c>
      <c r="O18" s="67"/>
      <c r="P18" s="99"/>
    </row>
    <row r="19" spans="1:16" s="64" customFormat="1" ht="102" x14ac:dyDescent="0.25">
      <c r="A19" s="57">
        <v>9</v>
      </c>
      <c r="B19" s="58" t="s">
        <v>44</v>
      </c>
      <c r="C19" s="59"/>
      <c r="D19" s="65" t="s">
        <v>76</v>
      </c>
      <c r="E19" s="61" t="s">
        <v>17</v>
      </c>
      <c r="F19" s="61" t="s">
        <v>71</v>
      </c>
      <c r="G19" s="62">
        <v>1</v>
      </c>
      <c r="H19" s="103">
        <f>ROUND((0.0017+1.35*2*0.001075)*5.67,3)</f>
        <v>2.5999999999999999E-2</v>
      </c>
      <c r="I19" s="9"/>
      <c r="J19" s="96"/>
      <c r="K19" s="6">
        <f t="shared" si="1"/>
        <v>0</v>
      </c>
      <c r="L19" s="6">
        <f t="shared" si="0"/>
        <v>0</v>
      </c>
      <c r="M19" s="6"/>
      <c r="N19" s="7">
        <f t="shared" si="2"/>
        <v>0</v>
      </c>
      <c r="O19" s="63"/>
      <c r="P19" s="99"/>
    </row>
    <row r="20" spans="1:16" s="68" customFormat="1" ht="102" x14ac:dyDescent="0.25">
      <c r="A20" s="57">
        <v>10</v>
      </c>
      <c r="B20" s="58" t="s">
        <v>44</v>
      </c>
      <c r="C20" s="66"/>
      <c r="D20" s="65" t="s">
        <v>77</v>
      </c>
      <c r="E20" s="61" t="s">
        <v>17</v>
      </c>
      <c r="F20" s="61" t="s">
        <v>71</v>
      </c>
      <c r="G20" s="62">
        <v>1</v>
      </c>
      <c r="H20" s="103">
        <f>ROUND((0.0017+0.0017+1.35*4*0.00139+1.35*6*0.001075+0.03925*0.015*4)*4.27,3)</f>
        <v>9.4E-2</v>
      </c>
      <c r="I20" s="9"/>
      <c r="J20" s="96"/>
      <c r="K20" s="6">
        <f t="shared" si="1"/>
        <v>0</v>
      </c>
      <c r="L20" s="6">
        <f t="shared" si="0"/>
        <v>0</v>
      </c>
      <c r="M20" s="6"/>
      <c r="N20" s="7">
        <f t="shared" si="2"/>
        <v>0</v>
      </c>
      <c r="O20" s="67"/>
      <c r="P20" s="99"/>
    </row>
    <row r="21" spans="1:16" s="68" customFormat="1" ht="102" x14ac:dyDescent="0.25">
      <c r="A21" s="57">
        <v>11</v>
      </c>
      <c r="B21" s="58" t="s">
        <v>44</v>
      </c>
      <c r="C21" s="66"/>
      <c r="D21" s="65" t="s">
        <v>78</v>
      </c>
      <c r="E21" s="61" t="s">
        <v>17</v>
      </c>
      <c r="F21" s="61" t="s">
        <v>71</v>
      </c>
      <c r="G21" s="62">
        <v>1</v>
      </c>
      <c r="H21" s="103">
        <f>ROUND((0.0017+0.0017+1.35*4*0.00139+1.35*6*0.001075+0.03925*0.015*4)*33,3)</f>
        <v>0.72499999999999998</v>
      </c>
      <c r="I21" s="9"/>
      <c r="J21" s="96"/>
      <c r="K21" s="6">
        <f t="shared" si="1"/>
        <v>0</v>
      </c>
      <c r="L21" s="6">
        <f t="shared" si="0"/>
        <v>0</v>
      </c>
      <c r="M21" s="6"/>
      <c r="N21" s="7">
        <f t="shared" si="2"/>
        <v>0</v>
      </c>
      <c r="O21" s="67"/>
      <c r="P21" s="99"/>
    </row>
    <row r="22" spans="1:16" s="68" customFormat="1" ht="102" x14ac:dyDescent="0.25">
      <c r="A22" s="57">
        <v>12</v>
      </c>
      <c r="B22" s="58" t="s">
        <v>44</v>
      </c>
      <c r="C22" s="66"/>
      <c r="D22" s="65" t="s">
        <v>79</v>
      </c>
      <c r="E22" s="61" t="s">
        <v>17</v>
      </c>
      <c r="F22" s="61" t="s">
        <v>71</v>
      </c>
      <c r="G22" s="62">
        <v>1</v>
      </c>
      <c r="H22" s="103">
        <f>ROUND((0.0017+0.0017+1.35*4*0.00139+1.35*6*0.001075+0.03925*0.015*4)*29.7,3)</f>
        <v>0.65200000000000002</v>
      </c>
      <c r="I22" s="9"/>
      <c r="J22" s="96"/>
      <c r="K22" s="6">
        <f t="shared" si="1"/>
        <v>0</v>
      </c>
      <c r="L22" s="6">
        <f t="shared" si="0"/>
        <v>0</v>
      </c>
      <c r="M22" s="6"/>
      <c r="N22" s="7">
        <f t="shared" si="2"/>
        <v>0</v>
      </c>
      <c r="O22" s="67"/>
      <c r="P22" s="99"/>
    </row>
    <row r="23" spans="1:16" s="68" customFormat="1" ht="102" x14ac:dyDescent="0.25">
      <c r="A23" s="57">
        <v>13</v>
      </c>
      <c r="B23" s="58" t="s">
        <v>44</v>
      </c>
      <c r="C23" s="66"/>
      <c r="D23" s="65" t="s">
        <v>80</v>
      </c>
      <c r="E23" s="61" t="s">
        <v>17</v>
      </c>
      <c r="F23" s="61" t="s">
        <v>71</v>
      </c>
      <c r="G23" s="62">
        <v>1</v>
      </c>
      <c r="H23" s="103">
        <f>ROUND((0.0017+0.0017+1.35*4*0.00139+1.35*6*0.001075+0.03925*0.015*4)*3.61,3)</f>
        <v>7.9000000000000001E-2</v>
      </c>
      <c r="I23" s="9"/>
      <c r="J23" s="96"/>
      <c r="K23" s="6">
        <f t="shared" si="1"/>
        <v>0</v>
      </c>
      <c r="L23" s="6">
        <f t="shared" si="0"/>
        <v>0</v>
      </c>
      <c r="M23" s="6"/>
      <c r="N23" s="7">
        <f t="shared" si="2"/>
        <v>0</v>
      </c>
      <c r="O23" s="67"/>
      <c r="P23" s="99"/>
    </row>
    <row r="24" spans="1:16" s="68" customFormat="1" ht="102" x14ac:dyDescent="0.25">
      <c r="A24" s="57">
        <v>14</v>
      </c>
      <c r="B24" s="58" t="s">
        <v>44</v>
      </c>
      <c r="C24" s="66"/>
      <c r="D24" s="65" t="s">
        <v>81</v>
      </c>
      <c r="E24" s="61" t="s">
        <v>17</v>
      </c>
      <c r="F24" s="61" t="s">
        <v>71</v>
      </c>
      <c r="G24" s="62">
        <v>1</v>
      </c>
      <c r="H24" s="103">
        <f>ROUND((0.0017+0.0017+1.35*4*0.00139+1.35*6*0.001075+0.03925*0.015*4)*1.35,3)</f>
        <v>0.03</v>
      </c>
      <c r="I24" s="9"/>
      <c r="J24" s="96"/>
      <c r="K24" s="6">
        <f t="shared" si="1"/>
        <v>0</v>
      </c>
      <c r="L24" s="6">
        <f t="shared" si="0"/>
        <v>0</v>
      </c>
      <c r="M24" s="6"/>
      <c r="N24" s="7">
        <f t="shared" si="2"/>
        <v>0</v>
      </c>
      <c r="O24" s="67"/>
      <c r="P24" s="99"/>
    </row>
    <row r="25" spans="1:16" s="56" customFormat="1" ht="38.25" x14ac:dyDescent="0.25">
      <c r="A25" s="49">
        <v>15</v>
      </c>
      <c r="B25" s="50" t="s">
        <v>43</v>
      </c>
      <c r="C25" s="51" t="s">
        <v>63</v>
      </c>
      <c r="D25" s="52" t="s">
        <v>62</v>
      </c>
      <c r="E25" s="53" t="s">
        <v>16</v>
      </c>
      <c r="F25" s="53" t="s">
        <v>70</v>
      </c>
      <c r="G25" s="54">
        <v>1</v>
      </c>
      <c r="H25" s="18">
        <f>H26</f>
        <v>5.05</v>
      </c>
      <c r="I25" s="94"/>
      <c r="J25" s="95"/>
      <c r="K25" s="19">
        <f>J25</f>
        <v>0</v>
      </c>
      <c r="L25" s="19"/>
      <c r="M25" s="19">
        <f>H25*J25</f>
        <v>0</v>
      </c>
      <c r="N25" s="20">
        <f>M25</f>
        <v>0</v>
      </c>
      <c r="O25" s="55"/>
      <c r="P25" s="98" t="s">
        <v>47</v>
      </c>
    </row>
    <row r="26" spans="1:16" s="64" customFormat="1" ht="38.25" x14ac:dyDescent="0.25">
      <c r="A26" s="57">
        <v>16</v>
      </c>
      <c r="B26" s="58" t="s">
        <v>44</v>
      </c>
      <c r="C26" s="59"/>
      <c r="D26" s="60" t="s">
        <v>82</v>
      </c>
      <c r="E26" s="61" t="s">
        <v>17</v>
      </c>
      <c r="F26" s="61" t="s">
        <v>70</v>
      </c>
      <c r="G26" s="62">
        <v>1</v>
      </c>
      <c r="H26" s="8">
        <f>ROUND(1*(3.9+1.145),2)</f>
        <v>5.05</v>
      </c>
      <c r="I26" s="9"/>
      <c r="J26" s="10"/>
      <c r="K26" s="6">
        <f t="shared" ref="K26" si="3">I26</f>
        <v>0</v>
      </c>
      <c r="L26" s="6">
        <f>H26*I26</f>
        <v>0</v>
      </c>
      <c r="M26" s="6"/>
      <c r="N26" s="7">
        <f t="shared" ref="N26" si="4">L26</f>
        <v>0</v>
      </c>
      <c r="O26" s="63"/>
      <c r="P26" s="99"/>
    </row>
    <row r="27" spans="1:16" s="56" customFormat="1" ht="51" x14ac:dyDescent="0.25">
      <c r="A27" s="41">
        <v>17</v>
      </c>
      <c r="B27" s="42" t="s">
        <v>43</v>
      </c>
      <c r="C27" s="43" t="s">
        <v>61</v>
      </c>
      <c r="D27" s="44" t="s">
        <v>49</v>
      </c>
      <c r="E27" s="45" t="s">
        <v>16</v>
      </c>
      <c r="F27" s="45" t="s">
        <v>18</v>
      </c>
      <c r="G27" s="46">
        <v>1</v>
      </c>
      <c r="H27" s="11">
        <f>H28</f>
        <v>2</v>
      </c>
      <c r="I27" s="92"/>
      <c r="J27" s="93"/>
      <c r="K27" s="17">
        <f>J27</f>
        <v>0</v>
      </c>
      <c r="L27" s="12"/>
      <c r="M27" s="12">
        <f>H27*J27</f>
        <v>0</v>
      </c>
      <c r="N27" s="13">
        <f>M27</f>
        <v>0</v>
      </c>
      <c r="O27" s="55"/>
      <c r="P27" s="98" t="s">
        <v>49</v>
      </c>
    </row>
    <row r="28" spans="1:16" s="64" customFormat="1" ht="25.5" x14ac:dyDescent="0.25">
      <c r="A28" s="57">
        <v>18</v>
      </c>
      <c r="B28" s="58" t="s">
        <v>44</v>
      </c>
      <c r="C28" s="59"/>
      <c r="D28" s="60" t="s">
        <v>50</v>
      </c>
      <c r="E28" s="61" t="s">
        <v>17</v>
      </c>
      <c r="F28" s="61" t="s">
        <v>18</v>
      </c>
      <c r="G28" s="62">
        <v>1</v>
      </c>
      <c r="H28" s="8">
        <v>2</v>
      </c>
      <c r="I28" s="9"/>
      <c r="J28" s="10"/>
      <c r="K28" s="6">
        <f>I28</f>
        <v>0</v>
      </c>
      <c r="L28" s="6">
        <f>H28*I28</f>
        <v>0</v>
      </c>
      <c r="M28" s="6"/>
      <c r="N28" s="7">
        <f>L28</f>
        <v>0</v>
      </c>
      <c r="O28" s="63"/>
      <c r="P28" s="99"/>
    </row>
    <row r="29" spans="1:16" s="56" customFormat="1" ht="63.75" x14ac:dyDescent="0.25">
      <c r="A29" s="41">
        <v>19</v>
      </c>
      <c r="B29" s="42" t="s">
        <v>43</v>
      </c>
      <c r="C29" s="43" t="s">
        <v>61</v>
      </c>
      <c r="D29" s="44" t="s">
        <v>52</v>
      </c>
      <c r="E29" s="45" t="s">
        <v>16</v>
      </c>
      <c r="F29" s="45" t="s">
        <v>51</v>
      </c>
      <c r="G29" s="46">
        <v>1</v>
      </c>
      <c r="H29" s="11">
        <f>H30</f>
        <v>234</v>
      </c>
      <c r="I29" s="92"/>
      <c r="J29" s="93"/>
      <c r="K29" s="17">
        <f>J29</f>
        <v>0</v>
      </c>
      <c r="L29" s="12"/>
      <c r="M29" s="12">
        <f>H29*J29</f>
        <v>0</v>
      </c>
      <c r="N29" s="13">
        <f>M29</f>
        <v>0</v>
      </c>
      <c r="O29" s="55"/>
      <c r="P29" s="98" t="s">
        <v>52</v>
      </c>
    </row>
    <row r="30" spans="1:16" s="64" customFormat="1" ht="25.5" x14ac:dyDescent="0.25">
      <c r="A30" s="57">
        <v>20</v>
      </c>
      <c r="B30" s="58" t="s">
        <v>44</v>
      </c>
      <c r="C30" s="59"/>
      <c r="D30" s="60" t="s">
        <v>53</v>
      </c>
      <c r="E30" s="61" t="s">
        <v>17</v>
      </c>
      <c r="F30" s="61" t="s">
        <v>51</v>
      </c>
      <c r="G30" s="62">
        <v>1</v>
      </c>
      <c r="H30" s="8">
        <v>234</v>
      </c>
      <c r="I30" s="9"/>
      <c r="J30" s="10"/>
      <c r="K30" s="6">
        <f>I30</f>
        <v>0</v>
      </c>
      <c r="L30" s="6">
        <f t="shared" ref="L30:L34" si="5">H30*I30</f>
        <v>0</v>
      </c>
      <c r="M30" s="6"/>
      <c r="N30" s="7">
        <f>L30</f>
        <v>0</v>
      </c>
      <c r="O30" s="63"/>
      <c r="P30" s="99"/>
    </row>
    <row r="31" spans="1:16" s="64" customFormat="1" ht="25.5" x14ac:dyDescent="0.25">
      <c r="A31" s="57">
        <v>21</v>
      </c>
      <c r="B31" s="58" t="s">
        <v>44</v>
      </c>
      <c r="C31" s="59"/>
      <c r="D31" s="60" t="s">
        <v>54</v>
      </c>
      <c r="E31" s="61" t="s">
        <v>17</v>
      </c>
      <c r="F31" s="61" t="s">
        <v>71</v>
      </c>
      <c r="G31" s="62">
        <v>1.04</v>
      </c>
      <c r="H31" s="101">
        <f>ROUND((ROUNDUP(224/0.6,0)*0.1*8.59/1000)*G31,3)</f>
        <v>0.33400000000000002</v>
      </c>
      <c r="I31" s="9"/>
      <c r="J31" s="10"/>
      <c r="K31" s="6">
        <f t="shared" ref="K31:K34" si="6">I31</f>
        <v>0</v>
      </c>
      <c r="L31" s="6">
        <f t="shared" si="5"/>
        <v>0</v>
      </c>
      <c r="M31" s="6"/>
      <c r="N31" s="7">
        <f t="shared" ref="N31:N34" si="7">L31</f>
        <v>0</v>
      </c>
      <c r="O31" s="63"/>
      <c r="P31" s="99"/>
    </row>
    <row r="32" spans="1:16" s="64" customFormat="1" ht="25.5" x14ac:dyDescent="0.25">
      <c r="A32" s="57">
        <v>22</v>
      </c>
      <c r="B32" s="58" t="s">
        <v>44</v>
      </c>
      <c r="C32" s="59"/>
      <c r="D32" s="60" t="s">
        <v>55</v>
      </c>
      <c r="E32" s="61" t="s">
        <v>17</v>
      </c>
      <c r="F32" s="61" t="s">
        <v>71</v>
      </c>
      <c r="G32" s="62">
        <v>1.04</v>
      </c>
      <c r="H32" s="101">
        <f>ROUND((ROUNDUP(130/0.6,0)*0.08*0.222/1000)*G32+(ROUNDUP(94/0.6,0)*0.16*0.222/1000)*G32,3)</f>
        <v>0.01</v>
      </c>
      <c r="I32" s="9"/>
      <c r="J32" s="10"/>
      <c r="K32" s="6">
        <f t="shared" si="6"/>
        <v>0</v>
      </c>
      <c r="L32" s="6">
        <f t="shared" si="5"/>
        <v>0</v>
      </c>
      <c r="M32" s="6"/>
      <c r="N32" s="7">
        <f t="shared" si="7"/>
        <v>0</v>
      </c>
      <c r="O32" s="63"/>
      <c r="P32" s="99"/>
    </row>
    <row r="33" spans="1:16" s="64" customFormat="1" ht="25.5" x14ac:dyDescent="0.25">
      <c r="A33" s="57">
        <v>23</v>
      </c>
      <c r="B33" s="58" t="s">
        <v>44</v>
      </c>
      <c r="C33" s="59"/>
      <c r="D33" s="60" t="s">
        <v>56</v>
      </c>
      <c r="E33" s="61" t="s">
        <v>17</v>
      </c>
      <c r="F33" s="61" t="s">
        <v>71</v>
      </c>
      <c r="G33" s="62">
        <v>1.04</v>
      </c>
      <c r="H33" s="101">
        <f>ROUND((90*0.222/1000)*G33,3)</f>
        <v>2.1000000000000001E-2</v>
      </c>
      <c r="I33" s="9"/>
      <c r="J33" s="10"/>
      <c r="K33" s="6">
        <f t="shared" si="6"/>
        <v>0</v>
      </c>
      <c r="L33" s="6">
        <f t="shared" si="5"/>
        <v>0</v>
      </c>
      <c r="M33" s="6"/>
      <c r="N33" s="7">
        <f t="shared" si="7"/>
        <v>0</v>
      </c>
      <c r="O33" s="63"/>
      <c r="P33" s="99"/>
    </row>
    <row r="34" spans="1:16" s="64" customFormat="1" ht="26.25" thickBot="1" x14ac:dyDescent="0.3">
      <c r="A34" s="57">
        <v>24</v>
      </c>
      <c r="B34" s="58" t="s">
        <v>44</v>
      </c>
      <c r="C34" s="59"/>
      <c r="D34" s="60" t="s">
        <v>57</v>
      </c>
      <c r="E34" s="61" t="s">
        <v>17</v>
      </c>
      <c r="F34" s="61" t="s">
        <v>18</v>
      </c>
      <c r="G34" s="62">
        <v>1</v>
      </c>
      <c r="H34" s="8">
        <f>ROUNDUP(122/0.6,0)</f>
        <v>204</v>
      </c>
      <c r="I34" s="9"/>
      <c r="J34" s="10"/>
      <c r="K34" s="6">
        <f t="shared" si="6"/>
        <v>0</v>
      </c>
      <c r="L34" s="6">
        <f t="shared" si="5"/>
        <v>0</v>
      </c>
      <c r="M34" s="6"/>
      <c r="N34" s="7">
        <f t="shared" si="7"/>
        <v>0</v>
      </c>
      <c r="O34" s="63"/>
      <c r="P34" s="100"/>
    </row>
    <row r="35" spans="1:16" x14ac:dyDescent="0.25">
      <c r="A35" s="25"/>
      <c r="B35" s="16"/>
      <c r="C35" s="1"/>
      <c r="D35" s="2" t="s">
        <v>19</v>
      </c>
      <c r="E35" s="1"/>
      <c r="F35" s="1"/>
      <c r="G35" s="1"/>
      <c r="H35" s="15"/>
      <c r="I35" s="14"/>
      <c r="J35" s="3"/>
      <c r="K35" s="3"/>
      <c r="L35" s="4">
        <f>SUM(L11:L34)</f>
        <v>0</v>
      </c>
      <c r="M35" s="4">
        <f>SUM(M11:M34)</f>
        <v>0</v>
      </c>
      <c r="N35" s="5">
        <f>SUM(N11:N34)</f>
        <v>0</v>
      </c>
      <c r="O35" s="30"/>
      <c r="P35" s="33"/>
    </row>
    <row r="36" spans="1:16" x14ac:dyDescent="0.25">
      <c r="A36" s="131"/>
      <c r="B36" s="132"/>
      <c r="C36" s="69"/>
      <c r="D36" s="2" t="s">
        <v>35</v>
      </c>
      <c r="E36" s="1"/>
      <c r="F36" s="1"/>
      <c r="G36" s="1"/>
      <c r="H36" s="70"/>
      <c r="I36" s="71"/>
      <c r="J36" s="72"/>
      <c r="K36" s="72"/>
      <c r="L36" s="4"/>
      <c r="M36" s="4"/>
      <c r="N36" s="5">
        <f>N35/1.22*0.22</f>
        <v>0</v>
      </c>
      <c r="O36" s="30"/>
      <c r="P36" s="33"/>
    </row>
    <row r="37" spans="1:16" x14ac:dyDescent="0.25">
      <c r="A37" s="73" t="s">
        <v>20</v>
      </c>
      <c r="B37" s="74"/>
      <c r="C37" s="74"/>
      <c r="D37" s="74"/>
      <c r="E37" s="74"/>
      <c r="F37" s="74"/>
      <c r="G37" s="74"/>
      <c r="H37" s="75"/>
      <c r="I37" s="76"/>
      <c r="J37" s="76"/>
      <c r="K37" s="77"/>
      <c r="L37" s="77"/>
      <c r="M37" s="77"/>
      <c r="N37" s="78"/>
      <c r="O37" s="30"/>
      <c r="P37" s="33"/>
    </row>
    <row r="38" spans="1:16" x14ac:dyDescent="0.25">
      <c r="A38" s="137">
        <v>1</v>
      </c>
      <c r="B38" s="138"/>
      <c r="C38" s="79"/>
      <c r="D38" s="80" t="s">
        <v>21</v>
      </c>
      <c r="E38" s="108"/>
      <c r="F38" s="109"/>
      <c r="G38" s="109"/>
      <c r="H38" s="110"/>
      <c r="I38" s="111"/>
      <c r="J38" s="112"/>
      <c r="K38" s="113"/>
      <c r="L38" s="113"/>
      <c r="M38" s="113"/>
      <c r="N38" s="114"/>
      <c r="O38" s="30"/>
      <c r="P38" s="30"/>
    </row>
    <row r="39" spans="1:16" ht="30" customHeight="1" x14ac:dyDescent="0.25">
      <c r="A39" s="135">
        <v>2</v>
      </c>
      <c r="B39" s="136"/>
      <c r="C39" s="104"/>
      <c r="D39" s="81" t="s">
        <v>22</v>
      </c>
      <c r="E39" s="115"/>
      <c r="F39" s="116"/>
      <c r="G39" s="116"/>
      <c r="H39" s="117"/>
      <c r="I39" s="111"/>
      <c r="J39" s="112"/>
      <c r="K39" s="113"/>
      <c r="L39" s="113"/>
      <c r="M39" s="113"/>
      <c r="N39" s="114"/>
      <c r="O39" s="30"/>
      <c r="P39" s="33"/>
    </row>
    <row r="40" spans="1:16" x14ac:dyDescent="0.25">
      <c r="A40" s="135">
        <v>3</v>
      </c>
      <c r="B40" s="136"/>
      <c r="C40" s="79"/>
      <c r="D40" s="81" t="s">
        <v>23</v>
      </c>
      <c r="E40" s="115"/>
      <c r="F40" s="116"/>
      <c r="G40" s="116"/>
      <c r="H40" s="117"/>
      <c r="I40" s="111"/>
      <c r="J40" s="112"/>
      <c r="K40" s="113"/>
      <c r="L40" s="113"/>
      <c r="M40" s="113"/>
      <c r="N40" s="114"/>
      <c r="O40" s="30"/>
      <c r="P40" s="33"/>
    </row>
    <row r="41" spans="1:16" ht="25.5" x14ac:dyDescent="0.25">
      <c r="A41" s="135">
        <v>4</v>
      </c>
      <c r="B41" s="136"/>
      <c r="C41" s="104"/>
      <c r="D41" s="81" t="s">
        <v>24</v>
      </c>
      <c r="E41" s="115"/>
      <c r="F41" s="116"/>
      <c r="G41" s="116"/>
      <c r="H41" s="117"/>
      <c r="I41" s="111"/>
      <c r="J41" s="112"/>
      <c r="K41" s="113"/>
      <c r="L41" s="113"/>
      <c r="M41" s="113"/>
      <c r="N41" s="114"/>
      <c r="O41" s="30"/>
      <c r="P41" s="33"/>
    </row>
    <row r="42" spans="1:16" ht="25.5" x14ac:dyDescent="0.25">
      <c r="A42" s="135">
        <v>5</v>
      </c>
      <c r="B42" s="136"/>
      <c r="C42" s="79"/>
      <c r="D42" s="81" t="s">
        <v>25</v>
      </c>
      <c r="E42" s="115"/>
      <c r="F42" s="116"/>
      <c r="G42" s="116"/>
      <c r="H42" s="117"/>
      <c r="I42" s="111"/>
      <c r="J42" s="112"/>
      <c r="K42" s="113"/>
      <c r="L42" s="113"/>
      <c r="M42" s="113"/>
      <c r="N42" s="114"/>
      <c r="O42" s="30"/>
      <c r="P42" s="30"/>
    </row>
    <row r="43" spans="1:16" x14ac:dyDescent="0.25">
      <c r="A43" s="135">
        <v>6</v>
      </c>
      <c r="B43" s="136"/>
      <c r="C43" s="104"/>
      <c r="D43" s="81" t="s">
        <v>26</v>
      </c>
      <c r="E43" s="115"/>
      <c r="F43" s="116"/>
      <c r="G43" s="116"/>
      <c r="H43" s="117"/>
      <c r="I43" s="111"/>
      <c r="J43" s="112"/>
      <c r="K43" s="113"/>
      <c r="L43" s="113"/>
      <c r="M43" s="113"/>
      <c r="N43" s="114"/>
      <c r="O43" s="30"/>
      <c r="P43" s="33"/>
    </row>
    <row r="44" spans="1:16" x14ac:dyDescent="0.25">
      <c r="A44" s="135">
        <v>7</v>
      </c>
      <c r="B44" s="136"/>
      <c r="C44" s="79"/>
      <c r="D44" s="81" t="s">
        <v>27</v>
      </c>
      <c r="E44" s="115"/>
      <c r="F44" s="116"/>
      <c r="G44" s="116"/>
      <c r="H44" s="117"/>
      <c r="I44" s="111"/>
      <c r="J44" s="112"/>
      <c r="K44" s="113"/>
      <c r="L44" s="113"/>
      <c r="M44" s="113"/>
      <c r="N44" s="114"/>
      <c r="O44" s="30"/>
      <c r="P44" s="33"/>
    </row>
    <row r="45" spans="1:16" x14ac:dyDescent="0.25">
      <c r="A45" s="135">
        <v>8</v>
      </c>
      <c r="B45" s="136"/>
      <c r="C45" s="104"/>
      <c r="D45" s="81" t="s">
        <v>28</v>
      </c>
      <c r="E45" s="115"/>
      <c r="F45" s="116"/>
      <c r="G45" s="116"/>
      <c r="H45" s="117"/>
      <c r="I45" s="111"/>
      <c r="J45" s="112"/>
      <c r="K45" s="113"/>
      <c r="L45" s="113"/>
      <c r="M45" s="113"/>
      <c r="N45" s="114"/>
      <c r="O45" s="30"/>
      <c r="P45" s="33"/>
    </row>
    <row r="46" spans="1:16" x14ac:dyDescent="0.25">
      <c r="A46" s="135">
        <v>9</v>
      </c>
      <c r="B46" s="136"/>
      <c r="C46" s="79"/>
      <c r="D46" s="81" t="s">
        <v>29</v>
      </c>
      <c r="E46" s="115"/>
      <c r="F46" s="116"/>
      <c r="G46" s="116"/>
      <c r="H46" s="117"/>
      <c r="I46" s="111"/>
      <c r="J46" s="112"/>
      <c r="K46" s="113"/>
      <c r="L46" s="113"/>
      <c r="M46" s="113"/>
      <c r="N46" s="114"/>
      <c r="O46" s="30"/>
      <c r="P46" s="30"/>
    </row>
    <row r="47" spans="1:16" ht="25.5" x14ac:dyDescent="0.25">
      <c r="A47" s="135">
        <v>10</v>
      </c>
      <c r="B47" s="136"/>
      <c r="C47" s="104"/>
      <c r="D47" s="82" t="s">
        <v>30</v>
      </c>
      <c r="E47" s="118"/>
      <c r="F47" s="116"/>
      <c r="G47" s="116"/>
      <c r="H47" s="117"/>
      <c r="I47" s="111"/>
      <c r="J47" s="112"/>
      <c r="K47" s="113"/>
      <c r="L47" s="113"/>
      <c r="M47" s="113"/>
      <c r="N47" s="114"/>
      <c r="O47" s="30"/>
      <c r="P47" s="33"/>
    </row>
    <row r="48" spans="1:16" ht="15.75" thickBot="1" x14ac:dyDescent="0.3">
      <c r="A48" s="133">
        <v>11</v>
      </c>
      <c r="B48" s="134"/>
      <c r="C48" s="83"/>
      <c r="D48" s="84" t="s">
        <v>31</v>
      </c>
      <c r="E48" s="119"/>
      <c r="F48" s="120"/>
      <c r="G48" s="120"/>
      <c r="H48" s="121"/>
      <c r="I48" s="122"/>
      <c r="J48" s="123"/>
      <c r="K48" s="124"/>
      <c r="L48" s="124"/>
      <c r="M48" s="124"/>
      <c r="N48" s="125"/>
      <c r="O48" s="30"/>
      <c r="P48" s="33"/>
    </row>
    <row r="49" spans="1:16" x14ac:dyDescent="0.25">
      <c r="A49" s="85"/>
      <c r="B49" s="85"/>
      <c r="C49" s="86"/>
      <c r="D49" s="87"/>
      <c r="E49" s="85"/>
      <c r="F49" s="86"/>
      <c r="G49" s="86"/>
      <c r="H49" s="88"/>
      <c r="I49" s="86"/>
      <c r="J49" s="86"/>
      <c r="K49" s="89"/>
      <c r="L49" s="86"/>
      <c r="M49" s="86"/>
      <c r="N49" s="86"/>
      <c r="O49" s="30"/>
      <c r="P49" s="33"/>
    </row>
    <row r="50" spans="1:16" ht="96" customHeight="1" x14ac:dyDescent="0.25">
      <c r="A50" s="129" t="s">
        <v>65</v>
      </c>
      <c r="B50" s="129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30"/>
      <c r="P50" s="30"/>
    </row>
    <row r="51" spans="1:16" ht="47.25" customHeight="1" x14ac:dyDescent="0.25">
      <c r="A51" s="26"/>
      <c r="B51" s="26"/>
      <c r="C51" s="26"/>
      <c r="D51" s="27" t="s">
        <v>32</v>
      </c>
      <c r="E51" s="27"/>
      <c r="F51" s="27"/>
      <c r="G51" s="27"/>
      <c r="H51" s="27"/>
      <c r="I51" s="27"/>
      <c r="J51" s="28"/>
      <c r="K51" s="28"/>
      <c r="L51" s="90"/>
      <c r="M51" s="28"/>
      <c r="N51" s="91"/>
      <c r="O51" s="30"/>
      <c r="P51" s="33"/>
    </row>
  </sheetData>
  <sheetProtection autoFilter="0"/>
  <autoFilter ref="A10:N48" xr:uid="{00000000-0001-0000-0000-000000000000}"/>
  <mergeCells count="29">
    <mergeCell ref="A3:N3"/>
    <mergeCell ref="A4:N4"/>
    <mergeCell ref="A5:N5"/>
    <mergeCell ref="A8:A9"/>
    <mergeCell ref="C8:C9"/>
    <mergeCell ref="D8:D9"/>
    <mergeCell ref="E8:E9"/>
    <mergeCell ref="F8:F9"/>
    <mergeCell ref="G8:G9"/>
    <mergeCell ref="H8:H9"/>
    <mergeCell ref="B8:B9"/>
    <mergeCell ref="I8:J8"/>
    <mergeCell ref="K8:K9"/>
    <mergeCell ref="L8:M8"/>
    <mergeCell ref="N8:N9"/>
    <mergeCell ref="P8:P10"/>
    <mergeCell ref="A50:N50"/>
    <mergeCell ref="A36:B36"/>
    <mergeCell ref="A48:B48"/>
    <mergeCell ref="A47:B47"/>
    <mergeCell ref="A41:B41"/>
    <mergeCell ref="A40:B40"/>
    <mergeCell ref="A39:B39"/>
    <mergeCell ref="A38:B38"/>
    <mergeCell ref="A46:B46"/>
    <mergeCell ref="A45:B45"/>
    <mergeCell ref="A44:B44"/>
    <mergeCell ref="A43:B43"/>
    <mergeCell ref="A42:B42"/>
  </mergeCells>
  <phoneticPr fontId="2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318A3-9CB5-4E52-A94E-59A6BDB0FDA4}">
  <dimension ref="A1:P53"/>
  <sheetViews>
    <sheetView zoomScale="90" zoomScaleNormal="90" workbookViewId="0"/>
  </sheetViews>
  <sheetFormatPr defaultColWidth="9.140625" defaultRowHeight="15" x14ac:dyDescent="0.25"/>
  <cols>
    <col min="1" max="1" width="9.5703125" style="48" customWidth="1"/>
    <col min="2" max="2" width="2.7109375" style="48" bestFit="1" customWidth="1"/>
    <col min="3" max="3" width="13.5703125" style="31" bestFit="1" customWidth="1"/>
    <col min="4" max="4" width="42.85546875" style="31" customWidth="1"/>
    <col min="5" max="5" width="17" style="31" customWidth="1"/>
    <col min="6" max="6" width="9.7109375" style="31" customWidth="1"/>
    <col min="7" max="7" width="9.5703125" style="31" customWidth="1"/>
    <col min="8" max="8" width="10.7109375" style="31" customWidth="1"/>
    <col min="9" max="10" width="13.7109375" style="31" customWidth="1"/>
    <col min="11" max="11" width="14.7109375" style="31" customWidth="1"/>
    <col min="12" max="12" width="13.28515625" style="31" customWidth="1"/>
    <col min="13" max="13" width="14.7109375" style="31" customWidth="1"/>
    <col min="14" max="14" width="17.28515625" style="31" customWidth="1"/>
    <col min="15" max="15" width="2.7109375" style="31" customWidth="1"/>
    <col min="16" max="16" width="62.140625" style="31" customWidth="1"/>
    <col min="17" max="16384" width="9.140625" style="31"/>
  </cols>
  <sheetData>
    <row r="1" spans="1:16" x14ac:dyDescent="0.25">
      <c r="A1" s="26"/>
      <c r="B1" s="26"/>
      <c r="C1" s="26"/>
      <c r="D1" s="27"/>
      <c r="E1" s="27"/>
      <c r="F1" s="27"/>
      <c r="G1" s="27"/>
      <c r="H1" s="27"/>
      <c r="I1" s="28"/>
      <c r="J1" s="28"/>
      <c r="K1" s="28"/>
      <c r="L1" s="28"/>
      <c r="M1" s="28"/>
      <c r="N1" s="29" t="s">
        <v>0</v>
      </c>
      <c r="O1" s="30"/>
      <c r="P1" s="30"/>
    </row>
    <row r="2" spans="1:16" x14ac:dyDescent="0.25">
      <c r="A2" s="26"/>
      <c r="B2" s="26"/>
      <c r="C2" s="26"/>
      <c r="D2" s="27"/>
      <c r="E2" s="27"/>
      <c r="F2" s="27"/>
      <c r="G2" s="27"/>
      <c r="H2" s="27"/>
      <c r="I2" s="28"/>
      <c r="J2" s="28"/>
      <c r="K2" s="28"/>
      <c r="L2" s="28"/>
      <c r="M2" s="28"/>
      <c r="N2" s="29" t="s">
        <v>1</v>
      </c>
      <c r="O2" s="30"/>
      <c r="P2" s="30"/>
    </row>
    <row r="3" spans="1:16" ht="18.75" x14ac:dyDescent="0.25">
      <c r="A3" s="139" t="s">
        <v>2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30"/>
      <c r="P3" s="30"/>
    </row>
    <row r="4" spans="1:16" ht="15.75" x14ac:dyDescent="0.25">
      <c r="A4" s="140" t="s">
        <v>45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30"/>
      <c r="P4" s="30"/>
    </row>
    <row r="5" spans="1:16" ht="15.75" x14ac:dyDescent="0.25">
      <c r="A5" s="141" t="s">
        <v>39</v>
      </c>
      <c r="B5" s="141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30"/>
      <c r="P5" s="30"/>
    </row>
    <row r="6" spans="1:16" ht="15.75" x14ac:dyDescent="0.25">
      <c r="A6" s="32"/>
      <c r="B6" s="32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30"/>
      <c r="P6" s="30"/>
    </row>
    <row r="7" spans="1:16" ht="16.5" thickBot="1" x14ac:dyDescent="0.3">
      <c r="A7" s="33"/>
      <c r="B7" s="33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30"/>
      <c r="P7" s="30"/>
    </row>
    <row r="8" spans="1:16" x14ac:dyDescent="0.25">
      <c r="A8" s="143" t="s">
        <v>34</v>
      </c>
      <c r="B8" s="153"/>
      <c r="C8" s="145" t="s">
        <v>3</v>
      </c>
      <c r="D8" s="147" t="s">
        <v>4</v>
      </c>
      <c r="E8" s="147" t="s">
        <v>5</v>
      </c>
      <c r="F8" s="147" t="s">
        <v>6</v>
      </c>
      <c r="G8" s="149" t="s">
        <v>7</v>
      </c>
      <c r="H8" s="151" t="s">
        <v>8</v>
      </c>
      <c r="I8" s="155" t="s">
        <v>36</v>
      </c>
      <c r="J8" s="156"/>
      <c r="K8" s="156" t="s">
        <v>10</v>
      </c>
      <c r="L8" s="156" t="s">
        <v>11</v>
      </c>
      <c r="M8" s="156"/>
      <c r="N8" s="158" t="s">
        <v>12</v>
      </c>
      <c r="O8" s="27" t="s">
        <v>13</v>
      </c>
      <c r="P8" s="126" t="s">
        <v>9</v>
      </c>
    </row>
    <row r="9" spans="1:16" ht="26.25" thickBot="1" x14ac:dyDescent="0.3">
      <c r="A9" s="144"/>
      <c r="B9" s="154"/>
      <c r="C9" s="146"/>
      <c r="D9" s="148"/>
      <c r="E9" s="148"/>
      <c r="F9" s="148"/>
      <c r="G9" s="150"/>
      <c r="H9" s="152"/>
      <c r="I9" s="34" t="s">
        <v>14</v>
      </c>
      <c r="J9" s="107" t="s">
        <v>15</v>
      </c>
      <c r="K9" s="157"/>
      <c r="L9" s="107" t="s">
        <v>14</v>
      </c>
      <c r="M9" s="107" t="s">
        <v>15</v>
      </c>
      <c r="N9" s="159"/>
      <c r="O9" s="30"/>
      <c r="P9" s="127"/>
    </row>
    <row r="10" spans="1:16" ht="15.75" thickBot="1" x14ac:dyDescent="0.3">
      <c r="A10" s="35">
        <v>1</v>
      </c>
      <c r="B10" s="36"/>
      <c r="C10" s="37">
        <v>2</v>
      </c>
      <c r="D10" s="38">
        <v>3</v>
      </c>
      <c r="E10" s="38">
        <v>4</v>
      </c>
      <c r="F10" s="38">
        <v>5</v>
      </c>
      <c r="G10" s="39">
        <v>6</v>
      </c>
      <c r="H10" s="21">
        <v>7</v>
      </c>
      <c r="I10" s="22">
        <v>8</v>
      </c>
      <c r="J10" s="23">
        <v>9</v>
      </c>
      <c r="K10" s="23">
        <v>10</v>
      </c>
      <c r="L10" s="23">
        <v>11</v>
      </c>
      <c r="M10" s="23">
        <v>12</v>
      </c>
      <c r="N10" s="24">
        <v>13</v>
      </c>
      <c r="O10" s="40"/>
      <c r="P10" s="128"/>
    </row>
    <row r="11" spans="1:16" s="48" customFormat="1" ht="27" customHeight="1" x14ac:dyDescent="0.25">
      <c r="A11" s="41">
        <v>1</v>
      </c>
      <c r="B11" s="42"/>
      <c r="C11" s="43" t="s">
        <v>61</v>
      </c>
      <c r="D11" s="44" t="s">
        <v>60</v>
      </c>
      <c r="E11" s="45"/>
      <c r="F11" s="45"/>
      <c r="G11" s="46"/>
      <c r="H11" s="11"/>
      <c r="I11" s="92"/>
      <c r="J11" s="93"/>
      <c r="K11" s="17"/>
      <c r="L11" s="12"/>
      <c r="M11" s="12"/>
      <c r="N11" s="13"/>
      <c r="O11" s="47"/>
      <c r="P11" s="97"/>
    </row>
    <row r="12" spans="1:16" s="56" customFormat="1" ht="38.25" x14ac:dyDescent="0.25">
      <c r="A12" s="49">
        <v>2</v>
      </c>
      <c r="B12" s="50" t="s">
        <v>43</v>
      </c>
      <c r="C12" s="51" t="s">
        <v>58</v>
      </c>
      <c r="D12" s="52" t="s">
        <v>59</v>
      </c>
      <c r="E12" s="53" t="s">
        <v>16</v>
      </c>
      <c r="F12" s="53" t="s">
        <v>18</v>
      </c>
      <c r="G12" s="54">
        <v>1</v>
      </c>
      <c r="H12" s="18">
        <f>H13</f>
        <v>1</v>
      </c>
      <c r="I12" s="94"/>
      <c r="J12" s="95"/>
      <c r="K12" s="19">
        <f>J12</f>
        <v>0</v>
      </c>
      <c r="L12" s="19"/>
      <c r="M12" s="19">
        <f>H12*J12</f>
        <v>0</v>
      </c>
      <c r="N12" s="20">
        <f>M12</f>
        <v>0</v>
      </c>
      <c r="O12" s="55"/>
      <c r="P12" s="98" t="s">
        <v>48</v>
      </c>
    </row>
    <row r="13" spans="1:16" s="64" customFormat="1" ht="38.25" x14ac:dyDescent="0.25">
      <c r="A13" s="57">
        <v>3</v>
      </c>
      <c r="B13" s="58" t="s">
        <v>44</v>
      </c>
      <c r="C13" s="59"/>
      <c r="D13" s="60" t="s">
        <v>69</v>
      </c>
      <c r="E13" s="61" t="s">
        <v>17</v>
      </c>
      <c r="F13" s="61" t="s">
        <v>18</v>
      </c>
      <c r="G13" s="62">
        <v>1</v>
      </c>
      <c r="H13" s="8">
        <v>1</v>
      </c>
      <c r="I13" s="9"/>
      <c r="J13" s="10"/>
      <c r="K13" s="6">
        <f>I13</f>
        <v>0</v>
      </c>
      <c r="L13" s="6">
        <f>H13*I13</f>
        <v>0</v>
      </c>
      <c r="M13" s="6"/>
      <c r="N13" s="7">
        <f>L13</f>
        <v>0</v>
      </c>
      <c r="O13" s="63"/>
      <c r="P13" s="99"/>
    </row>
    <row r="14" spans="1:16" s="56" customFormat="1" ht="38.25" x14ac:dyDescent="0.25">
      <c r="A14" s="49">
        <v>4</v>
      </c>
      <c r="B14" s="50" t="s">
        <v>43</v>
      </c>
      <c r="C14" s="51" t="s">
        <v>63</v>
      </c>
      <c r="D14" s="52" t="s">
        <v>62</v>
      </c>
      <c r="E14" s="53" t="s">
        <v>16</v>
      </c>
      <c r="F14" s="53" t="s">
        <v>70</v>
      </c>
      <c r="G14" s="54">
        <v>1</v>
      </c>
      <c r="H14" s="18">
        <f>ROUND(3.92+2.98+0.29+3.73+8.37+47.46+47.46+3.61+1.35+3.97,2)</f>
        <v>123.14</v>
      </c>
      <c r="I14" s="94"/>
      <c r="J14" s="95"/>
      <c r="K14" s="19">
        <f>J14</f>
        <v>0</v>
      </c>
      <c r="L14" s="19"/>
      <c r="M14" s="19">
        <f>H14*J14</f>
        <v>0</v>
      </c>
      <c r="N14" s="20">
        <f>M14</f>
        <v>0</v>
      </c>
      <c r="O14" s="55"/>
      <c r="P14" s="98" t="s">
        <v>46</v>
      </c>
    </row>
    <row r="15" spans="1:16" s="64" customFormat="1" ht="76.5" x14ac:dyDescent="0.25">
      <c r="A15" s="57">
        <v>5</v>
      </c>
      <c r="B15" s="58" t="s">
        <v>44</v>
      </c>
      <c r="C15" s="59"/>
      <c r="D15" s="65" t="s">
        <v>83</v>
      </c>
      <c r="E15" s="61" t="s">
        <v>17</v>
      </c>
      <c r="F15" s="61" t="s">
        <v>71</v>
      </c>
      <c r="G15" s="62">
        <v>1</v>
      </c>
      <c r="H15" s="103">
        <f>ROUND((0.0017+0.03925*0.015*2)*3.92,3)</f>
        <v>1.0999999999999999E-2</v>
      </c>
      <c r="I15" s="9"/>
      <c r="J15" s="96"/>
      <c r="K15" s="6">
        <f>I15</f>
        <v>0</v>
      </c>
      <c r="L15" s="6">
        <f t="shared" ref="L15:L24" si="0">H15*I15</f>
        <v>0</v>
      </c>
      <c r="M15" s="6"/>
      <c r="N15" s="7">
        <f>L15</f>
        <v>0</v>
      </c>
      <c r="O15" s="63"/>
      <c r="P15" s="99"/>
    </row>
    <row r="16" spans="1:16" s="64" customFormat="1" ht="76.5" x14ac:dyDescent="0.25">
      <c r="A16" s="57">
        <v>6</v>
      </c>
      <c r="B16" s="58" t="s">
        <v>44</v>
      </c>
      <c r="C16" s="59"/>
      <c r="D16" s="65" t="s">
        <v>84</v>
      </c>
      <c r="E16" s="61" t="s">
        <v>17</v>
      </c>
      <c r="F16" s="61" t="s">
        <v>71</v>
      </c>
      <c r="G16" s="62">
        <v>1</v>
      </c>
      <c r="H16" s="103">
        <f>ROUND((0.0017+0.03925*0.015*2)*2.98,3)</f>
        <v>8.9999999999999993E-3</v>
      </c>
      <c r="I16" s="9"/>
      <c r="J16" s="96"/>
      <c r="K16" s="6">
        <f t="shared" ref="K16:K24" si="1">I16</f>
        <v>0</v>
      </c>
      <c r="L16" s="6">
        <f t="shared" si="0"/>
        <v>0</v>
      </c>
      <c r="M16" s="6"/>
      <c r="N16" s="7">
        <f t="shared" ref="N16:N24" si="2">L16</f>
        <v>0</v>
      </c>
      <c r="O16" s="63"/>
      <c r="P16" s="99"/>
    </row>
    <row r="17" spans="1:16" s="64" customFormat="1" ht="76.5" x14ac:dyDescent="0.25">
      <c r="A17" s="57">
        <v>7</v>
      </c>
      <c r="B17" s="58" t="s">
        <v>44</v>
      </c>
      <c r="C17" s="59"/>
      <c r="D17" s="65" t="s">
        <v>85</v>
      </c>
      <c r="E17" s="61" t="s">
        <v>17</v>
      </c>
      <c r="F17" s="61" t="s">
        <v>71</v>
      </c>
      <c r="G17" s="62">
        <v>1</v>
      </c>
      <c r="H17" s="103">
        <f>ROUND((0.0017+0.03925*0.015*1)*0.29,3)</f>
        <v>1E-3</v>
      </c>
      <c r="I17" s="9"/>
      <c r="J17" s="96"/>
      <c r="K17" s="6">
        <f t="shared" si="1"/>
        <v>0</v>
      </c>
      <c r="L17" s="6">
        <f t="shared" si="0"/>
        <v>0</v>
      </c>
      <c r="M17" s="6"/>
      <c r="N17" s="7">
        <f t="shared" si="2"/>
        <v>0</v>
      </c>
      <c r="O17" s="63"/>
      <c r="P17" s="99"/>
    </row>
    <row r="18" spans="1:16" s="64" customFormat="1" ht="102" x14ac:dyDescent="0.25">
      <c r="A18" s="57">
        <v>8</v>
      </c>
      <c r="B18" s="58" t="s">
        <v>44</v>
      </c>
      <c r="C18" s="59"/>
      <c r="D18" s="65" t="s">
        <v>86</v>
      </c>
      <c r="E18" s="61" t="s">
        <v>17</v>
      </c>
      <c r="F18" s="61" t="s">
        <v>71</v>
      </c>
      <c r="G18" s="62">
        <v>1</v>
      </c>
      <c r="H18" s="103">
        <f>ROUND((0.0017+0.0017+1.35*4*0.00139+1.35*6*0.001075+0.03925*0.015*4)*3.73,3)</f>
        <v>8.2000000000000003E-2</v>
      </c>
      <c r="I18" s="9"/>
      <c r="J18" s="96"/>
      <c r="K18" s="6">
        <f t="shared" si="1"/>
        <v>0</v>
      </c>
      <c r="L18" s="6">
        <f t="shared" si="0"/>
        <v>0</v>
      </c>
      <c r="M18" s="6"/>
      <c r="N18" s="7">
        <f t="shared" si="2"/>
        <v>0</v>
      </c>
      <c r="O18" s="63"/>
      <c r="P18" s="99"/>
    </row>
    <row r="19" spans="1:16" s="64" customFormat="1" ht="102" x14ac:dyDescent="0.25">
      <c r="A19" s="57">
        <v>9</v>
      </c>
      <c r="B19" s="58" t="s">
        <v>44</v>
      </c>
      <c r="C19" s="59"/>
      <c r="D19" s="65" t="s">
        <v>87</v>
      </c>
      <c r="E19" s="61" t="s">
        <v>17</v>
      </c>
      <c r="F19" s="61" t="s">
        <v>71</v>
      </c>
      <c r="G19" s="62">
        <v>1</v>
      </c>
      <c r="H19" s="103">
        <f>ROUND((0.0017+1.35*2*0.001075)*8.37,3)</f>
        <v>3.9E-2</v>
      </c>
      <c r="I19" s="9"/>
      <c r="J19" s="96"/>
      <c r="K19" s="6">
        <f t="shared" si="1"/>
        <v>0</v>
      </c>
      <c r="L19" s="6">
        <f t="shared" si="0"/>
        <v>0</v>
      </c>
      <c r="M19" s="6"/>
      <c r="N19" s="7">
        <f t="shared" si="2"/>
        <v>0</v>
      </c>
      <c r="O19" s="63"/>
      <c r="P19" s="99"/>
    </row>
    <row r="20" spans="1:16" s="64" customFormat="1" ht="102" x14ac:dyDescent="0.25">
      <c r="A20" s="57">
        <v>10</v>
      </c>
      <c r="B20" s="58" t="s">
        <v>44</v>
      </c>
      <c r="C20" s="59"/>
      <c r="D20" s="65" t="s">
        <v>88</v>
      </c>
      <c r="E20" s="61" t="s">
        <v>17</v>
      </c>
      <c r="F20" s="61" t="s">
        <v>71</v>
      </c>
      <c r="G20" s="62">
        <v>1</v>
      </c>
      <c r="H20" s="103">
        <f>ROUND((0.0017+0.0017+1.35*4*0.00139+1.35*6*0.001075+0.03925*0.015*4)*47.46,3)</f>
        <v>1.0429999999999999</v>
      </c>
      <c r="I20" s="9"/>
      <c r="J20" s="96"/>
      <c r="K20" s="6">
        <f t="shared" si="1"/>
        <v>0</v>
      </c>
      <c r="L20" s="6">
        <f t="shared" si="0"/>
        <v>0</v>
      </c>
      <c r="M20" s="6"/>
      <c r="N20" s="7">
        <f t="shared" si="2"/>
        <v>0</v>
      </c>
      <c r="O20" s="63"/>
      <c r="P20" s="99"/>
    </row>
    <row r="21" spans="1:16" s="64" customFormat="1" ht="102" x14ac:dyDescent="0.25">
      <c r="A21" s="57">
        <v>11</v>
      </c>
      <c r="B21" s="58" t="s">
        <v>44</v>
      </c>
      <c r="C21" s="59"/>
      <c r="D21" s="65" t="s">
        <v>89</v>
      </c>
      <c r="E21" s="61" t="s">
        <v>17</v>
      </c>
      <c r="F21" s="61" t="s">
        <v>71</v>
      </c>
      <c r="G21" s="62">
        <v>1</v>
      </c>
      <c r="H21" s="103">
        <f>ROUND((0.0017+0.0017+1.35*4*0.00139+1.35*6*0.001075+0.03925*0.015*4)*47.46,3)</f>
        <v>1.0429999999999999</v>
      </c>
      <c r="I21" s="9"/>
      <c r="J21" s="96"/>
      <c r="K21" s="6">
        <f t="shared" si="1"/>
        <v>0</v>
      </c>
      <c r="L21" s="6">
        <f t="shared" si="0"/>
        <v>0</v>
      </c>
      <c r="M21" s="6"/>
      <c r="N21" s="7">
        <f t="shared" si="2"/>
        <v>0</v>
      </c>
      <c r="O21" s="63"/>
      <c r="P21" s="99"/>
    </row>
    <row r="22" spans="1:16" s="64" customFormat="1" ht="102" x14ac:dyDescent="0.25">
      <c r="A22" s="57">
        <v>12</v>
      </c>
      <c r="B22" s="58" t="s">
        <v>44</v>
      </c>
      <c r="C22" s="59"/>
      <c r="D22" s="65" t="s">
        <v>90</v>
      </c>
      <c r="E22" s="61" t="s">
        <v>17</v>
      </c>
      <c r="F22" s="61" t="s">
        <v>71</v>
      </c>
      <c r="G22" s="62">
        <v>1</v>
      </c>
      <c r="H22" s="103">
        <f>ROUND((0.0017+0.0017+1.35*4*0.00139+1.35*6*0.001075+0.03925*0.015*4)*3.61,3)</f>
        <v>7.9000000000000001E-2</v>
      </c>
      <c r="I22" s="9"/>
      <c r="J22" s="96"/>
      <c r="K22" s="6">
        <f t="shared" si="1"/>
        <v>0</v>
      </c>
      <c r="L22" s="6">
        <f t="shared" si="0"/>
        <v>0</v>
      </c>
      <c r="M22" s="6"/>
      <c r="N22" s="7">
        <f t="shared" si="2"/>
        <v>0</v>
      </c>
      <c r="O22" s="63"/>
      <c r="P22" s="99"/>
    </row>
    <row r="23" spans="1:16" s="64" customFormat="1" ht="102" x14ac:dyDescent="0.25">
      <c r="A23" s="57">
        <v>13</v>
      </c>
      <c r="B23" s="58" t="s">
        <v>44</v>
      </c>
      <c r="C23" s="59"/>
      <c r="D23" s="65" t="s">
        <v>91</v>
      </c>
      <c r="E23" s="61" t="s">
        <v>17</v>
      </c>
      <c r="F23" s="61" t="s">
        <v>71</v>
      </c>
      <c r="G23" s="62">
        <v>1</v>
      </c>
      <c r="H23" s="103">
        <f>ROUND((0.0017+0.0017+1.35*4*0.00139+1.35*6*0.001075+0.03925*0.015*4)*1.35,3)</f>
        <v>0.03</v>
      </c>
      <c r="I23" s="9"/>
      <c r="J23" s="96"/>
      <c r="K23" s="6">
        <f t="shared" si="1"/>
        <v>0</v>
      </c>
      <c r="L23" s="6">
        <f t="shared" si="0"/>
        <v>0</v>
      </c>
      <c r="M23" s="6"/>
      <c r="N23" s="7">
        <f t="shared" si="2"/>
        <v>0</v>
      </c>
      <c r="O23" s="63"/>
      <c r="P23" s="99"/>
    </row>
    <row r="24" spans="1:16" s="64" customFormat="1" ht="102" x14ac:dyDescent="0.25">
      <c r="A24" s="57">
        <v>14</v>
      </c>
      <c r="B24" s="58" t="s">
        <v>44</v>
      </c>
      <c r="C24" s="59"/>
      <c r="D24" s="65" t="s">
        <v>92</v>
      </c>
      <c r="E24" s="61" t="s">
        <v>17</v>
      </c>
      <c r="F24" s="61" t="s">
        <v>71</v>
      </c>
      <c r="G24" s="62">
        <v>1</v>
      </c>
      <c r="H24" s="103">
        <f>ROUND((0.0017+0.0017+1.35*4*0.00139+1.35*6*0.001075+0.03925*0.015*4)*3.97,3)</f>
        <v>8.6999999999999994E-2</v>
      </c>
      <c r="I24" s="9"/>
      <c r="J24" s="96"/>
      <c r="K24" s="6">
        <f t="shared" si="1"/>
        <v>0</v>
      </c>
      <c r="L24" s="6">
        <f t="shared" si="0"/>
        <v>0</v>
      </c>
      <c r="M24" s="6"/>
      <c r="N24" s="7">
        <f t="shared" si="2"/>
        <v>0</v>
      </c>
      <c r="O24" s="63"/>
      <c r="P24" s="99"/>
    </row>
    <row r="25" spans="1:16" s="56" customFormat="1" ht="38.25" x14ac:dyDescent="0.25">
      <c r="A25" s="49">
        <v>15</v>
      </c>
      <c r="B25" s="50" t="s">
        <v>43</v>
      </c>
      <c r="C25" s="51" t="s">
        <v>63</v>
      </c>
      <c r="D25" s="52" t="s">
        <v>62</v>
      </c>
      <c r="E25" s="53" t="s">
        <v>16</v>
      </c>
      <c r="F25" s="53" t="s">
        <v>70</v>
      </c>
      <c r="G25" s="54">
        <v>1</v>
      </c>
      <c r="H25" s="18">
        <f>SUM(H26:H28)</f>
        <v>11.920000000000002</v>
      </c>
      <c r="I25" s="94"/>
      <c r="J25" s="95"/>
      <c r="K25" s="19">
        <f>J25</f>
        <v>0</v>
      </c>
      <c r="L25" s="19"/>
      <c r="M25" s="19">
        <f>H25*J25</f>
        <v>0</v>
      </c>
      <c r="N25" s="20">
        <f>M25</f>
        <v>0</v>
      </c>
      <c r="O25" s="55"/>
      <c r="P25" s="98" t="s">
        <v>47</v>
      </c>
    </row>
    <row r="26" spans="1:16" s="64" customFormat="1" ht="38.25" x14ac:dyDescent="0.25">
      <c r="A26" s="57">
        <v>16</v>
      </c>
      <c r="B26" s="58" t="s">
        <v>44</v>
      </c>
      <c r="C26" s="59"/>
      <c r="D26" s="60" t="s">
        <v>82</v>
      </c>
      <c r="E26" s="61" t="s">
        <v>17</v>
      </c>
      <c r="F26" s="61" t="s">
        <v>70</v>
      </c>
      <c r="G26" s="62">
        <v>1</v>
      </c>
      <c r="H26" s="8">
        <f>ROUND(1*(3.55+1.11),2)</f>
        <v>4.66</v>
      </c>
      <c r="I26" s="9"/>
      <c r="J26" s="10"/>
      <c r="K26" s="6">
        <f t="shared" ref="K26" si="3">I26</f>
        <v>0</v>
      </c>
      <c r="L26" s="6">
        <f>H26*I26</f>
        <v>0</v>
      </c>
      <c r="M26" s="6"/>
      <c r="N26" s="7">
        <f t="shared" ref="N26" si="4">L26</f>
        <v>0</v>
      </c>
      <c r="O26" s="63"/>
      <c r="P26" s="99"/>
    </row>
    <row r="27" spans="1:16" s="64" customFormat="1" ht="38.25" x14ac:dyDescent="0.25">
      <c r="A27" s="57">
        <v>17</v>
      </c>
      <c r="B27" s="58" t="s">
        <v>44</v>
      </c>
      <c r="C27" s="59"/>
      <c r="D27" s="60" t="s">
        <v>93</v>
      </c>
      <c r="E27" s="61" t="s">
        <v>17</v>
      </c>
      <c r="F27" s="61" t="s">
        <v>70</v>
      </c>
      <c r="G27" s="62">
        <v>1</v>
      </c>
      <c r="H27" s="8">
        <f>ROUND(1*(2.45+1.11),2)</f>
        <v>3.56</v>
      </c>
      <c r="I27" s="9"/>
      <c r="J27" s="10"/>
      <c r="K27" s="6">
        <f t="shared" ref="K27:K28" si="5">I27</f>
        <v>0</v>
      </c>
      <c r="L27" s="6">
        <f t="shared" ref="L27:L28" si="6">H27*I27</f>
        <v>0</v>
      </c>
      <c r="M27" s="6"/>
      <c r="N27" s="7">
        <f t="shared" ref="N27:N28" si="7">L27</f>
        <v>0</v>
      </c>
      <c r="O27" s="63"/>
      <c r="P27" s="99"/>
    </row>
    <row r="28" spans="1:16" s="64" customFormat="1" ht="38.25" x14ac:dyDescent="0.25">
      <c r="A28" s="57">
        <v>18</v>
      </c>
      <c r="B28" s="58" t="s">
        <v>44</v>
      </c>
      <c r="C28" s="59"/>
      <c r="D28" s="60" t="s">
        <v>94</v>
      </c>
      <c r="E28" s="61" t="s">
        <v>17</v>
      </c>
      <c r="F28" s="61" t="s">
        <v>70</v>
      </c>
      <c r="G28" s="62">
        <v>1</v>
      </c>
      <c r="H28" s="8">
        <f>ROUND(1*(2.65+1.05),2)</f>
        <v>3.7</v>
      </c>
      <c r="I28" s="9"/>
      <c r="J28" s="10"/>
      <c r="K28" s="6">
        <f t="shared" si="5"/>
        <v>0</v>
      </c>
      <c r="L28" s="6">
        <f t="shared" si="6"/>
        <v>0</v>
      </c>
      <c r="M28" s="6"/>
      <c r="N28" s="7">
        <f t="shared" si="7"/>
        <v>0</v>
      </c>
      <c r="O28" s="63"/>
      <c r="P28" s="99"/>
    </row>
    <row r="29" spans="1:16" s="56" customFormat="1" ht="51" x14ac:dyDescent="0.25">
      <c r="A29" s="41">
        <v>19</v>
      </c>
      <c r="B29" s="42" t="s">
        <v>43</v>
      </c>
      <c r="C29" s="43" t="s">
        <v>61</v>
      </c>
      <c r="D29" s="44" t="s">
        <v>49</v>
      </c>
      <c r="E29" s="45" t="s">
        <v>16</v>
      </c>
      <c r="F29" s="45" t="s">
        <v>18</v>
      </c>
      <c r="G29" s="46">
        <v>1</v>
      </c>
      <c r="H29" s="11">
        <f>H30</f>
        <v>2</v>
      </c>
      <c r="I29" s="92"/>
      <c r="J29" s="93"/>
      <c r="K29" s="17">
        <f>J29</f>
        <v>0</v>
      </c>
      <c r="L29" s="12"/>
      <c r="M29" s="12">
        <f>H29*J29</f>
        <v>0</v>
      </c>
      <c r="N29" s="13">
        <f>M29</f>
        <v>0</v>
      </c>
      <c r="O29" s="55"/>
      <c r="P29" s="98" t="s">
        <v>49</v>
      </c>
    </row>
    <row r="30" spans="1:16" s="64" customFormat="1" ht="25.5" x14ac:dyDescent="0.25">
      <c r="A30" s="57">
        <v>20</v>
      </c>
      <c r="B30" s="58" t="s">
        <v>44</v>
      </c>
      <c r="C30" s="59"/>
      <c r="D30" s="60" t="s">
        <v>50</v>
      </c>
      <c r="E30" s="61" t="s">
        <v>17</v>
      </c>
      <c r="F30" s="61" t="s">
        <v>18</v>
      </c>
      <c r="G30" s="62">
        <v>1</v>
      </c>
      <c r="H30" s="8">
        <v>2</v>
      </c>
      <c r="I30" s="9"/>
      <c r="J30" s="10"/>
      <c r="K30" s="6">
        <f>I30</f>
        <v>0</v>
      </c>
      <c r="L30" s="6">
        <f>H30*I30</f>
        <v>0</v>
      </c>
      <c r="M30" s="6"/>
      <c r="N30" s="7">
        <f>L30</f>
        <v>0</v>
      </c>
      <c r="O30" s="63"/>
      <c r="P30" s="99"/>
    </row>
    <row r="31" spans="1:16" s="56" customFormat="1" ht="63.75" x14ac:dyDescent="0.25">
      <c r="A31" s="41">
        <v>21</v>
      </c>
      <c r="B31" s="42" t="s">
        <v>43</v>
      </c>
      <c r="C31" s="43" t="s">
        <v>61</v>
      </c>
      <c r="D31" s="44" t="s">
        <v>52</v>
      </c>
      <c r="E31" s="45" t="s">
        <v>16</v>
      </c>
      <c r="F31" s="45" t="s">
        <v>51</v>
      </c>
      <c r="G31" s="46">
        <v>1</v>
      </c>
      <c r="H31" s="11">
        <f>H32</f>
        <v>338</v>
      </c>
      <c r="I31" s="92"/>
      <c r="J31" s="93"/>
      <c r="K31" s="17">
        <f>J31</f>
        <v>0</v>
      </c>
      <c r="L31" s="12"/>
      <c r="M31" s="12">
        <f>H31*J31</f>
        <v>0</v>
      </c>
      <c r="N31" s="13">
        <f>M31</f>
        <v>0</v>
      </c>
      <c r="O31" s="55"/>
      <c r="P31" s="98" t="s">
        <v>52</v>
      </c>
    </row>
    <row r="32" spans="1:16" s="64" customFormat="1" ht="25.5" x14ac:dyDescent="0.25">
      <c r="A32" s="57">
        <v>22</v>
      </c>
      <c r="B32" s="58" t="s">
        <v>44</v>
      </c>
      <c r="C32" s="59"/>
      <c r="D32" s="60" t="s">
        <v>53</v>
      </c>
      <c r="E32" s="61" t="s">
        <v>17</v>
      </c>
      <c r="F32" s="61" t="s">
        <v>51</v>
      </c>
      <c r="G32" s="62">
        <v>1</v>
      </c>
      <c r="H32" s="8">
        <v>338</v>
      </c>
      <c r="I32" s="9"/>
      <c r="J32" s="10"/>
      <c r="K32" s="6">
        <f>I32</f>
        <v>0</v>
      </c>
      <c r="L32" s="6">
        <f t="shared" ref="L32:L36" si="8">H32*I32</f>
        <v>0</v>
      </c>
      <c r="M32" s="6"/>
      <c r="N32" s="7">
        <f>L32</f>
        <v>0</v>
      </c>
      <c r="O32" s="63"/>
      <c r="P32" s="99"/>
    </row>
    <row r="33" spans="1:16" s="64" customFormat="1" ht="25.5" x14ac:dyDescent="0.25">
      <c r="A33" s="57">
        <v>23</v>
      </c>
      <c r="B33" s="58" t="s">
        <v>44</v>
      </c>
      <c r="C33" s="59"/>
      <c r="D33" s="60" t="s">
        <v>54</v>
      </c>
      <c r="E33" s="61" t="s">
        <v>17</v>
      </c>
      <c r="F33" s="61" t="s">
        <v>71</v>
      </c>
      <c r="G33" s="62">
        <v>1.04</v>
      </c>
      <c r="H33" s="101">
        <f>ROUND((ROUNDUP(360/0.6,0)*0.1*8.59/1000)*G33,3)</f>
        <v>0.53600000000000003</v>
      </c>
      <c r="I33" s="9"/>
      <c r="J33" s="10"/>
      <c r="K33" s="6">
        <f t="shared" ref="K33:K36" si="9">I33</f>
        <v>0</v>
      </c>
      <c r="L33" s="6">
        <f t="shared" si="8"/>
        <v>0</v>
      </c>
      <c r="M33" s="6"/>
      <c r="N33" s="7">
        <f t="shared" ref="N33:N36" si="10">L33</f>
        <v>0</v>
      </c>
      <c r="O33" s="63"/>
      <c r="P33" s="99"/>
    </row>
    <row r="34" spans="1:16" s="64" customFormat="1" ht="25.5" x14ac:dyDescent="0.25">
      <c r="A34" s="57">
        <v>24</v>
      </c>
      <c r="B34" s="58" t="s">
        <v>44</v>
      </c>
      <c r="C34" s="59"/>
      <c r="D34" s="60" t="s">
        <v>55</v>
      </c>
      <c r="E34" s="61" t="s">
        <v>17</v>
      </c>
      <c r="F34" s="61" t="s">
        <v>71</v>
      </c>
      <c r="G34" s="62">
        <v>1.04</v>
      </c>
      <c r="H34" s="101">
        <f>ROUND((ROUNDUP(207/0.6,0)*0.08*0.222/1000)*G34+(ROUNDUP(153/0.6,0)*0.16*0.222/1000)*G34,3)</f>
        <v>1.6E-2</v>
      </c>
      <c r="I34" s="9"/>
      <c r="J34" s="10"/>
      <c r="K34" s="6">
        <f t="shared" si="9"/>
        <v>0</v>
      </c>
      <c r="L34" s="6">
        <f t="shared" si="8"/>
        <v>0</v>
      </c>
      <c r="M34" s="6"/>
      <c r="N34" s="7">
        <f t="shared" si="10"/>
        <v>0</v>
      </c>
      <c r="O34" s="63"/>
      <c r="P34" s="99"/>
    </row>
    <row r="35" spans="1:16" s="64" customFormat="1" ht="25.5" x14ac:dyDescent="0.25">
      <c r="A35" s="57">
        <v>25</v>
      </c>
      <c r="B35" s="58" t="s">
        <v>44</v>
      </c>
      <c r="C35" s="59"/>
      <c r="D35" s="60" t="s">
        <v>56</v>
      </c>
      <c r="E35" s="61" t="s">
        <v>17</v>
      </c>
      <c r="F35" s="61" t="s">
        <v>71</v>
      </c>
      <c r="G35" s="62">
        <v>1.04</v>
      </c>
      <c r="H35" s="101">
        <f>ROUND((89*0.222/1000)*G35,3)</f>
        <v>2.1000000000000001E-2</v>
      </c>
      <c r="I35" s="9"/>
      <c r="J35" s="10"/>
      <c r="K35" s="6">
        <f t="shared" si="9"/>
        <v>0</v>
      </c>
      <c r="L35" s="6">
        <f t="shared" si="8"/>
        <v>0</v>
      </c>
      <c r="M35" s="6"/>
      <c r="N35" s="7">
        <f t="shared" si="10"/>
        <v>0</v>
      </c>
      <c r="O35" s="63"/>
      <c r="P35" s="99"/>
    </row>
    <row r="36" spans="1:16" s="64" customFormat="1" ht="26.25" thickBot="1" x14ac:dyDescent="0.3">
      <c r="A36" s="57">
        <v>26</v>
      </c>
      <c r="B36" s="58" t="s">
        <v>44</v>
      </c>
      <c r="C36" s="59"/>
      <c r="D36" s="60" t="s">
        <v>57</v>
      </c>
      <c r="E36" s="61" t="s">
        <v>17</v>
      </c>
      <c r="F36" s="61" t="s">
        <v>18</v>
      </c>
      <c r="G36" s="62">
        <v>1</v>
      </c>
      <c r="H36" s="8">
        <f>ROUNDUP(204/0.6,0)</f>
        <v>340</v>
      </c>
      <c r="I36" s="9"/>
      <c r="J36" s="10"/>
      <c r="K36" s="6">
        <f t="shared" si="9"/>
        <v>0</v>
      </c>
      <c r="L36" s="6">
        <f t="shared" si="8"/>
        <v>0</v>
      </c>
      <c r="M36" s="6"/>
      <c r="N36" s="7">
        <f t="shared" si="10"/>
        <v>0</v>
      </c>
      <c r="O36" s="63"/>
      <c r="P36" s="100"/>
    </row>
    <row r="37" spans="1:16" x14ac:dyDescent="0.25">
      <c r="A37" s="25"/>
      <c r="B37" s="16"/>
      <c r="C37" s="1"/>
      <c r="D37" s="2" t="s">
        <v>19</v>
      </c>
      <c r="E37" s="1"/>
      <c r="F37" s="1"/>
      <c r="G37" s="1"/>
      <c r="H37" s="15"/>
      <c r="I37" s="14"/>
      <c r="J37" s="3"/>
      <c r="K37" s="3"/>
      <c r="L37" s="4">
        <f>SUM(L11:L36)</f>
        <v>0</v>
      </c>
      <c r="M37" s="4">
        <f>SUM(M11:M36)</f>
        <v>0</v>
      </c>
      <c r="N37" s="5">
        <f>SUM(N11:N36)</f>
        <v>0</v>
      </c>
      <c r="O37" s="30"/>
      <c r="P37" s="33"/>
    </row>
    <row r="38" spans="1:16" x14ac:dyDescent="0.25">
      <c r="A38" s="131"/>
      <c r="B38" s="132"/>
      <c r="C38" s="69"/>
      <c r="D38" s="2" t="s">
        <v>35</v>
      </c>
      <c r="E38" s="1"/>
      <c r="F38" s="1"/>
      <c r="G38" s="1"/>
      <c r="H38" s="70"/>
      <c r="I38" s="71"/>
      <c r="J38" s="72"/>
      <c r="K38" s="72"/>
      <c r="L38" s="4"/>
      <c r="M38" s="4"/>
      <c r="N38" s="5">
        <f>N37/1.22*0.22</f>
        <v>0</v>
      </c>
      <c r="O38" s="30"/>
      <c r="P38" s="33"/>
    </row>
    <row r="39" spans="1:16" x14ac:dyDescent="0.25">
      <c r="A39" s="73" t="s">
        <v>20</v>
      </c>
      <c r="B39" s="74"/>
      <c r="C39" s="74"/>
      <c r="D39" s="74"/>
      <c r="E39" s="74"/>
      <c r="F39" s="74"/>
      <c r="G39" s="74"/>
      <c r="H39" s="75"/>
      <c r="I39" s="76"/>
      <c r="J39" s="76"/>
      <c r="K39" s="77"/>
      <c r="L39" s="77"/>
      <c r="M39" s="77"/>
      <c r="N39" s="78"/>
      <c r="O39" s="30"/>
      <c r="P39" s="33"/>
    </row>
    <row r="40" spans="1:16" x14ac:dyDescent="0.25">
      <c r="A40" s="137">
        <v>1</v>
      </c>
      <c r="B40" s="138"/>
      <c r="C40" s="79"/>
      <c r="D40" s="80" t="s">
        <v>21</v>
      </c>
      <c r="E40" s="108"/>
      <c r="F40" s="109"/>
      <c r="G40" s="109"/>
      <c r="H40" s="110"/>
      <c r="I40" s="111"/>
      <c r="J40" s="112"/>
      <c r="K40" s="113"/>
      <c r="L40" s="113"/>
      <c r="M40" s="113"/>
      <c r="N40" s="114"/>
      <c r="O40" s="30"/>
      <c r="P40" s="30"/>
    </row>
    <row r="41" spans="1:16" ht="30" customHeight="1" x14ac:dyDescent="0.25">
      <c r="A41" s="135">
        <v>2</v>
      </c>
      <c r="B41" s="136"/>
      <c r="C41" s="104"/>
      <c r="D41" s="81" t="s">
        <v>22</v>
      </c>
      <c r="E41" s="115"/>
      <c r="F41" s="116"/>
      <c r="G41" s="116"/>
      <c r="H41" s="117"/>
      <c r="I41" s="111"/>
      <c r="J41" s="112"/>
      <c r="K41" s="113"/>
      <c r="L41" s="113"/>
      <c r="M41" s="113"/>
      <c r="N41" s="114"/>
      <c r="O41" s="30"/>
      <c r="P41" s="33"/>
    </row>
    <row r="42" spans="1:16" x14ac:dyDescent="0.25">
      <c r="A42" s="135">
        <v>3</v>
      </c>
      <c r="B42" s="136"/>
      <c r="C42" s="79"/>
      <c r="D42" s="81" t="s">
        <v>23</v>
      </c>
      <c r="E42" s="115"/>
      <c r="F42" s="116"/>
      <c r="G42" s="116"/>
      <c r="H42" s="117"/>
      <c r="I42" s="111"/>
      <c r="J42" s="112"/>
      <c r="K42" s="113"/>
      <c r="L42" s="113"/>
      <c r="M42" s="113"/>
      <c r="N42" s="114"/>
      <c r="O42" s="30"/>
      <c r="P42" s="33"/>
    </row>
    <row r="43" spans="1:16" ht="25.5" x14ac:dyDescent="0.25">
      <c r="A43" s="135">
        <v>4</v>
      </c>
      <c r="B43" s="136"/>
      <c r="C43" s="104"/>
      <c r="D43" s="81" t="s">
        <v>24</v>
      </c>
      <c r="E43" s="115"/>
      <c r="F43" s="116"/>
      <c r="G43" s="116"/>
      <c r="H43" s="117"/>
      <c r="I43" s="111"/>
      <c r="J43" s="112"/>
      <c r="K43" s="113"/>
      <c r="L43" s="113"/>
      <c r="M43" s="113"/>
      <c r="N43" s="114"/>
      <c r="O43" s="30"/>
      <c r="P43" s="33"/>
    </row>
    <row r="44" spans="1:16" ht="25.5" x14ac:dyDescent="0.25">
      <c r="A44" s="135">
        <v>5</v>
      </c>
      <c r="B44" s="136"/>
      <c r="C44" s="79"/>
      <c r="D44" s="81" t="s">
        <v>25</v>
      </c>
      <c r="E44" s="115"/>
      <c r="F44" s="116"/>
      <c r="G44" s="116"/>
      <c r="H44" s="117"/>
      <c r="I44" s="111"/>
      <c r="J44" s="112"/>
      <c r="K44" s="113"/>
      <c r="L44" s="113"/>
      <c r="M44" s="113"/>
      <c r="N44" s="114"/>
      <c r="O44" s="30"/>
      <c r="P44" s="30"/>
    </row>
    <row r="45" spans="1:16" x14ac:dyDescent="0.25">
      <c r="A45" s="135">
        <v>6</v>
      </c>
      <c r="B45" s="136"/>
      <c r="C45" s="104"/>
      <c r="D45" s="81" t="s">
        <v>26</v>
      </c>
      <c r="E45" s="115"/>
      <c r="F45" s="116"/>
      <c r="G45" s="116"/>
      <c r="H45" s="117"/>
      <c r="I45" s="111"/>
      <c r="J45" s="112"/>
      <c r="K45" s="113"/>
      <c r="L45" s="113"/>
      <c r="M45" s="113"/>
      <c r="N45" s="114"/>
      <c r="O45" s="30"/>
      <c r="P45" s="33"/>
    </row>
    <row r="46" spans="1:16" x14ac:dyDescent="0.25">
      <c r="A46" s="135">
        <v>7</v>
      </c>
      <c r="B46" s="136"/>
      <c r="C46" s="79"/>
      <c r="D46" s="81" t="s">
        <v>27</v>
      </c>
      <c r="E46" s="115"/>
      <c r="F46" s="116"/>
      <c r="G46" s="116"/>
      <c r="H46" s="117"/>
      <c r="I46" s="111"/>
      <c r="J46" s="112"/>
      <c r="K46" s="113"/>
      <c r="L46" s="113"/>
      <c r="M46" s="113"/>
      <c r="N46" s="114"/>
      <c r="O46" s="30"/>
      <c r="P46" s="33"/>
    </row>
    <row r="47" spans="1:16" x14ac:dyDescent="0.25">
      <c r="A47" s="135">
        <v>8</v>
      </c>
      <c r="B47" s="136"/>
      <c r="C47" s="104"/>
      <c r="D47" s="81" t="s">
        <v>28</v>
      </c>
      <c r="E47" s="115"/>
      <c r="F47" s="116"/>
      <c r="G47" s="116"/>
      <c r="H47" s="117"/>
      <c r="I47" s="111"/>
      <c r="J47" s="112"/>
      <c r="K47" s="113"/>
      <c r="L47" s="113"/>
      <c r="M47" s="113"/>
      <c r="N47" s="114"/>
      <c r="O47" s="30"/>
      <c r="P47" s="33"/>
    </row>
    <row r="48" spans="1:16" x14ac:dyDescent="0.25">
      <c r="A48" s="135">
        <v>9</v>
      </c>
      <c r="B48" s="136"/>
      <c r="C48" s="79"/>
      <c r="D48" s="81" t="s">
        <v>29</v>
      </c>
      <c r="E48" s="115"/>
      <c r="F48" s="116"/>
      <c r="G48" s="116"/>
      <c r="H48" s="117"/>
      <c r="I48" s="111"/>
      <c r="J48" s="112"/>
      <c r="K48" s="113"/>
      <c r="L48" s="113"/>
      <c r="M48" s="113"/>
      <c r="N48" s="114"/>
      <c r="O48" s="30"/>
      <c r="P48" s="30"/>
    </row>
    <row r="49" spans="1:16" ht="25.5" x14ac:dyDescent="0.25">
      <c r="A49" s="135">
        <v>10</v>
      </c>
      <c r="B49" s="136"/>
      <c r="C49" s="104"/>
      <c r="D49" s="82" t="s">
        <v>30</v>
      </c>
      <c r="E49" s="118"/>
      <c r="F49" s="116"/>
      <c r="G49" s="116"/>
      <c r="H49" s="117"/>
      <c r="I49" s="111"/>
      <c r="J49" s="112"/>
      <c r="K49" s="113"/>
      <c r="L49" s="113"/>
      <c r="M49" s="113"/>
      <c r="N49" s="114"/>
      <c r="O49" s="30"/>
      <c r="P49" s="33"/>
    </row>
    <row r="50" spans="1:16" ht="15.75" thickBot="1" x14ac:dyDescent="0.3">
      <c r="A50" s="133">
        <v>11</v>
      </c>
      <c r="B50" s="134"/>
      <c r="C50" s="83"/>
      <c r="D50" s="84" t="s">
        <v>31</v>
      </c>
      <c r="E50" s="119"/>
      <c r="F50" s="120"/>
      <c r="G50" s="120"/>
      <c r="H50" s="121"/>
      <c r="I50" s="122"/>
      <c r="J50" s="123"/>
      <c r="K50" s="124"/>
      <c r="L50" s="124"/>
      <c r="M50" s="124"/>
      <c r="N50" s="125"/>
      <c r="O50" s="30"/>
      <c r="P50" s="33"/>
    </row>
    <row r="51" spans="1:16" x14ac:dyDescent="0.25">
      <c r="A51" s="85"/>
      <c r="B51" s="85"/>
      <c r="C51" s="86"/>
      <c r="D51" s="87"/>
      <c r="E51" s="85"/>
      <c r="F51" s="86"/>
      <c r="G51" s="86"/>
      <c r="H51" s="88"/>
      <c r="I51" s="86"/>
      <c r="J51" s="86"/>
      <c r="K51" s="89"/>
      <c r="L51" s="86"/>
      <c r="M51" s="86"/>
      <c r="N51" s="86"/>
      <c r="O51" s="30"/>
      <c r="P51" s="33"/>
    </row>
    <row r="52" spans="1:16" ht="96" customHeight="1" x14ac:dyDescent="0.25">
      <c r="A52" s="129" t="s">
        <v>65</v>
      </c>
      <c r="B52" s="129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30"/>
      <c r="P52" s="30"/>
    </row>
    <row r="53" spans="1:16" ht="47.25" customHeight="1" x14ac:dyDescent="0.25">
      <c r="A53" s="26"/>
      <c r="B53" s="26"/>
      <c r="C53" s="26"/>
      <c r="D53" s="27" t="s">
        <v>32</v>
      </c>
      <c r="E53" s="27"/>
      <c r="F53" s="27"/>
      <c r="G53" s="27"/>
      <c r="H53" s="27"/>
      <c r="I53" s="27"/>
      <c r="J53" s="28"/>
      <c r="K53" s="28"/>
      <c r="L53" s="90"/>
      <c r="M53" s="28"/>
      <c r="N53" s="91"/>
      <c r="O53" s="30"/>
      <c r="P53" s="33"/>
    </row>
  </sheetData>
  <sheetProtection autoFilter="0"/>
  <autoFilter ref="A10:N50" xr:uid="{00000000-0001-0000-0000-000000000000}"/>
  <mergeCells count="29">
    <mergeCell ref="A52:N52"/>
    <mergeCell ref="A45:B45"/>
    <mergeCell ref="A46:B46"/>
    <mergeCell ref="A47:B47"/>
    <mergeCell ref="A48:B48"/>
    <mergeCell ref="A49:B49"/>
    <mergeCell ref="A50:B50"/>
    <mergeCell ref="A44:B44"/>
    <mergeCell ref="H8:H9"/>
    <mergeCell ref="I8:J8"/>
    <mergeCell ref="K8:K9"/>
    <mergeCell ref="L8:M8"/>
    <mergeCell ref="A38:B38"/>
    <mergeCell ref="A40:B40"/>
    <mergeCell ref="A41:B41"/>
    <mergeCell ref="A42:B42"/>
    <mergeCell ref="A43:B43"/>
    <mergeCell ref="N8:N9"/>
    <mergeCell ref="P8:P10"/>
    <mergeCell ref="A3:N3"/>
    <mergeCell ref="A4:N4"/>
    <mergeCell ref="A5:N5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10E73-AFF5-4C5F-A1DD-B34A3028E850}">
  <dimension ref="A1:P52"/>
  <sheetViews>
    <sheetView zoomScale="90" zoomScaleNormal="90" workbookViewId="0"/>
  </sheetViews>
  <sheetFormatPr defaultColWidth="9.140625" defaultRowHeight="15" x14ac:dyDescent="0.25"/>
  <cols>
    <col min="1" max="1" width="9.5703125" style="48" customWidth="1"/>
    <col min="2" max="2" width="2.7109375" style="48" bestFit="1" customWidth="1"/>
    <col min="3" max="3" width="13.5703125" style="31" bestFit="1" customWidth="1"/>
    <col min="4" max="4" width="42.85546875" style="31" customWidth="1"/>
    <col min="5" max="5" width="17" style="31" customWidth="1"/>
    <col min="6" max="6" width="9.7109375" style="31" customWidth="1"/>
    <col min="7" max="7" width="9.5703125" style="31" customWidth="1"/>
    <col min="8" max="8" width="10.7109375" style="31" customWidth="1"/>
    <col min="9" max="10" width="13.7109375" style="31" customWidth="1"/>
    <col min="11" max="11" width="14.7109375" style="31" customWidth="1"/>
    <col min="12" max="12" width="13.28515625" style="31" customWidth="1"/>
    <col min="13" max="13" width="14.7109375" style="31" customWidth="1"/>
    <col min="14" max="14" width="17.28515625" style="31" customWidth="1"/>
    <col min="15" max="15" width="2.7109375" style="31" customWidth="1"/>
    <col min="16" max="16" width="62.140625" style="31" customWidth="1"/>
    <col min="17" max="16384" width="9.140625" style="31"/>
  </cols>
  <sheetData>
    <row r="1" spans="1:16" x14ac:dyDescent="0.25">
      <c r="A1" s="26"/>
      <c r="B1" s="26"/>
      <c r="C1" s="26"/>
      <c r="D1" s="27"/>
      <c r="E1" s="27"/>
      <c r="F1" s="27"/>
      <c r="G1" s="27"/>
      <c r="H1" s="27"/>
      <c r="I1" s="28"/>
      <c r="J1" s="28"/>
      <c r="K1" s="28"/>
      <c r="L1" s="28"/>
      <c r="M1" s="28"/>
      <c r="N1" s="29" t="s">
        <v>0</v>
      </c>
      <c r="O1" s="30"/>
      <c r="P1" s="30"/>
    </row>
    <row r="2" spans="1:16" x14ac:dyDescent="0.25">
      <c r="A2" s="26"/>
      <c r="B2" s="26"/>
      <c r="C2" s="26"/>
      <c r="D2" s="27"/>
      <c r="E2" s="27"/>
      <c r="F2" s="27"/>
      <c r="G2" s="27"/>
      <c r="H2" s="27"/>
      <c r="I2" s="28"/>
      <c r="J2" s="28"/>
      <c r="K2" s="28"/>
      <c r="L2" s="28"/>
      <c r="M2" s="28"/>
      <c r="N2" s="29" t="s">
        <v>1</v>
      </c>
      <c r="O2" s="30"/>
      <c r="P2" s="30"/>
    </row>
    <row r="3" spans="1:16" ht="18.75" x14ac:dyDescent="0.25">
      <c r="A3" s="139" t="s">
        <v>2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30"/>
      <c r="P3" s="30"/>
    </row>
    <row r="4" spans="1:16" ht="15.75" x14ac:dyDescent="0.25">
      <c r="A4" s="140" t="s">
        <v>45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30"/>
      <c r="P4" s="30"/>
    </row>
    <row r="5" spans="1:16" ht="15.75" x14ac:dyDescent="0.25">
      <c r="A5" s="141" t="s">
        <v>33</v>
      </c>
      <c r="B5" s="141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30"/>
      <c r="P5" s="30"/>
    </row>
    <row r="6" spans="1:16" ht="15.75" x14ac:dyDescent="0.25">
      <c r="A6" s="32"/>
      <c r="B6" s="32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30"/>
      <c r="P6" s="30"/>
    </row>
    <row r="7" spans="1:16" ht="16.5" thickBot="1" x14ac:dyDescent="0.3">
      <c r="A7" s="33"/>
      <c r="B7" s="33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30"/>
      <c r="P7" s="30"/>
    </row>
    <row r="8" spans="1:16" x14ac:dyDescent="0.25">
      <c r="A8" s="143" t="s">
        <v>34</v>
      </c>
      <c r="B8" s="153"/>
      <c r="C8" s="145" t="s">
        <v>3</v>
      </c>
      <c r="D8" s="147" t="s">
        <v>4</v>
      </c>
      <c r="E8" s="147" t="s">
        <v>5</v>
      </c>
      <c r="F8" s="147" t="s">
        <v>6</v>
      </c>
      <c r="G8" s="149" t="s">
        <v>7</v>
      </c>
      <c r="H8" s="151" t="s">
        <v>8</v>
      </c>
      <c r="I8" s="155" t="s">
        <v>36</v>
      </c>
      <c r="J8" s="156"/>
      <c r="K8" s="156" t="s">
        <v>10</v>
      </c>
      <c r="L8" s="156" t="s">
        <v>11</v>
      </c>
      <c r="M8" s="156"/>
      <c r="N8" s="158" t="s">
        <v>12</v>
      </c>
      <c r="O8" s="27" t="s">
        <v>13</v>
      </c>
      <c r="P8" s="126" t="s">
        <v>9</v>
      </c>
    </row>
    <row r="9" spans="1:16" ht="26.25" thickBot="1" x14ac:dyDescent="0.3">
      <c r="A9" s="144"/>
      <c r="B9" s="154"/>
      <c r="C9" s="146"/>
      <c r="D9" s="148"/>
      <c r="E9" s="148"/>
      <c r="F9" s="148"/>
      <c r="G9" s="150"/>
      <c r="H9" s="152"/>
      <c r="I9" s="34" t="s">
        <v>14</v>
      </c>
      <c r="J9" s="107" t="s">
        <v>15</v>
      </c>
      <c r="K9" s="157"/>
      <c r="L9" s="107" t="s">
        <v>14</v>
      </c>
      <c r="M9" s="107" t="s">
        <v>15</v>
      </c>
      <c r="N9" s="159"/>
      <c r="O9" s="30"/>
      <c r="P9" s="127"/>
    </row>
    <row r="10" spans="1:16" ht="15.75" thickBot="1" x14ac:dyDescent="0.3">
      <c r="A10" s="35">
        <v>1</v>
      </c>
      <c r="B10" s="36"/>
      <c r="C10" s="37">
        <v>2</v>
      </c>
      <c r="D10" s="38">
        <v>3</v>
      </c>
      <c r="E10" s="38">
        <v>4</v>
      </c>
      <c r="F10" s="38">
        <v>5</v>
      </c>
      <c r="G10" s="39">
        <v>6</v>
      </c>
      <c r="H10" s="21">
        <v>7</v>
      </c>
      <c r="I10" s="22">
        <v>8</v>
      </c>
      <c r="J10" s="23">
        <v>9</v>
      </c>
      <c r="K10" s="23">
        <v>10</v>
      </c>
      <c r="L10" s="23">
        <v>11</v>
      </c>
      <c r="M10" s="23">
        <v>12</v>
      </c>
      <c r="N10" s="24">
        <v>13</v>
      </c>
      <c r="O10" s="40"/>
      <c r="P10" s="128"/>
    </row>
    <row r="11" spans="1:16" s="48" customFormat="1" ht="27" customHeight="1" x14ac:dyDescent="0.25">
      <c r="A11" s="41">
        <v>1</v>
      </c>
      <c r="B11" s="42"/>
      <c r="C11" s="43" t="s">
        <v>61</v>
      </c>
      <c r="D11" s="44" t="s">
        <v>60</v>
      </c>
      <c r="E11" s="45"/>
      <c r="F11" s="45"/>
      <c r="G11" s="46"/>
      <c r="H11" s="11"/>
      <c r="I11" s="92"/>
      <c r="J11" s="93"/>
      <c r="K11" s="17"/>
      <c r="L11" s="12"/>
      <c r="M11" s="12"/>
      <c r="N11" s="13"/>
      <c r="O11" s="47"/>
      <c r="P11" s="97"/>
    </row>
    <row r="12" spans="1:16" s="56" customFormat="1" ht="38.25" x14ac:dyDescent="0.25">
      <c r="A12" s="49">
        <v>2</v>
      </c>
      <c r="B12" s="50" t="s">
        <v>43</v>
      </c>
      <c r="C12" s="51" t="s">
        <v>58</v>
      </c>
      <c r="D12" s="52" t="s">
        <v>59</v>
      </c>
      <c r="E12" s="53" t="s">
        <v>16</v>
      </c>
      <c r="F12" s="53" t="s">
        <v>18</v>
      </c>
      <c r="G12" s="54">
        <v>1</v>
      </c>
      <c r="H12" s="18">
        <f>H13</f>
        <v>1</v>
      </c>
      <c r="I12" s="94"/>
      <c r="J12" s="95"/>
      <c r="K12" s="19">
        <f>J12</f>
        <v>0</v>
      </c>
      <c r="L12" s="19"/>
      <c r="M12" s="19">
        <f>H12*J12</f>
        <v>0</v>
      </c>
      <c r="N12" s="20">
        <f>M12</f>
        <v>0</v>
      </c>
      <c r="O12" s="55"/>
      <c r="P12" s="98" t="s">
        <v>48</v>
      </c>
    </row>
    <row r="13" spans="1:16" s="64" customFormat="1" ht="38.25" x14ac:dyDescent="0.25">
      <c r="A13" s="57">
        <v>3</v>
      </c>
      <c r="B13" s="58" t="s">
        <v>44</v>
      </c>
      <c r="C13" s="59"/>
      <c r="D13" s="60" t="s">
        <v>69</v>
      </c>
      <c r="E13" s="61" t="s">
        <v>17</v>
      </c>
      <c r="F13" s="61" t="s">
        <v>18</v>
      </c>
      <c r="G13" s="62">
        <v>1</v>
      </c>
      <c r="H13" s="8">
        <v>1</v>
      </c>
      <c r="I13" s="9"/>
      <c r="J13" s="10"/>
      <c r="K13" s="6">
        <f>I13</f>
        <v>0</v>
      </c>
      <c r="L13" s="6">
        <f>H13*I13</f>
        <v>0</v>
      </c>
      <c r="M13" s="6"/>
      <c r="N13" s="7">
        <f>L13</f>
        <v>0</v>
      </c>
      <c r="O13" s="63"/>
      <c r="P13" s="99"/>
    </row>
    <row r="14" spans="1:16" s="56" customFormat="1" ht="38.25" x14ac:dyDescent="0.25">
      <c r="A14" s="49">
        <v>4</v>
      </c>
      <c r="B14" s="50" t="s">
        <v>43</v>
      </c>
      <c r="C14" s="51" t="s">
        <v>63</v>
      </c>
      <c r="D14" s="52" t="s">
        <v>62</v>
      </c>
      <c r="E14" s="53" t="s">
        <v>16</v>
      </c>
      <c r="F14" s="53" t="s">
        <v>70</v>
      </c>
      <c r="G14" s="54">
        <v>1</v>
      </c>
      <c r="H14" s="18">
        <f>ROUND(3.62+3.62+0.29+4.08+4.27+30.51+30.51+3.97+1.35+5.67+3.61,2)</f>
        <v>91.5</v>
      </c>
      <c r="I14" s="94"/>
      <c r="J14" s="95"/>
      <c r="K14" s="19">
        <f>J14</f>
        <v>0</v>
      </c>
      <c r="L14" s="19"/>
      <c r="M14" s="19">
        <f>H14*J14</f>
        <v>0</v>
      </c>
      <c r="N14" s="20">
        <f>M14</f>
        <v>0</v>
      </c>
      <c r="O14" s="55"/>
      <c r="P14" s="98" t="s">
        <v>46</v>
      </c>
    </row>
    <row r="15" spans="1:16" s="64" customFormat="1" ht="76.5" x14ac:dyDescent="0.25">
      <c r="A15" s="57">
        <v>5</v>
      </c>
      <c r="B15" s="58" t="s">
        <v>44</v>
      </c>
      <c r="C15" s="59"/>
      <c r="D15" s="65" t="s">
        <v>95</v>
      </c>
      <c r="E15" s="61" t="s">
        <v>17</v>
      </c>
      <c r="F15" s="61" t="s">
        <v>71</v>
      </c>
      <c r="G15" s="62">
        <v>1</v>
      </c>
      <c r="H15" s="103">
        <f>ROUND((0.0017+0.03925*0.015*1)*3.62,3)</f>
        <v>8.0000000000000002E-3</v>
      </c>
      <c r="I15" s="9"/>
      <c r="J15" s="96"/>
      <c r="K15" s="6">
        <f>I15</f>
        <v>0</v>
      </c>
      <c r="L15" s="6">
        <f t="shared" ref="L15:L25" si="0">H15*I15</f>
        <v>0</v>
      </c>
      <c r="M15" s="6"/>
      <c r="N15" s="7">
        <f>L15</f>
        <v>0</v>
      </c>
      <c r="O15" s="63"/>
      <c r="P15" s="99"/>
    </row>
    <row r="16" spans="1:16" s="64" customFormat="1" ht="76.5" x14ac:dyDescent="0.25">
      <c r="A16" s="57">
        <v>6</v>
      </c>
      <c r="B16" s="58" t="s">
        <v>44</v>
      </c>
      <c r="C16" s="59"/>
      <c r="D16" s="65" t="s">
        <v>96</v>
      </c>
      <c r="E16" s="61" t="s">
        <v>17</v>
      </c>
      <c r="F16" s="61" t="s">
        <v>71</v>
      </c>
      <c r="G16" s="62">
        <v>1</v>
      </c>
      <c r="H16" s="103">
        <f>ROUND((0.0017+0.03925*0.015*1)*3.62,3)</f>
        <v>8.0000000000000002E-3</v>
      </c>
      <c r="I16" s="9"/>
      <c r="J16" s="96"/>
      <c r="K16" s="6">
        <f>I16</f>
        <v>0</v>
      </c>
      <c r="L16" s="6">
        <f t="shared" si="0"/>
        <v>0</v>
      </c>
      <c r="M16" s="6"/>
      <c r="N16" s="7">
        <f>L16</f>
        <v>0</v>
      </c>
      <c r="O16" s="63"/>
      <c r="P16" s="99"/>
    </row>
    <row r="17" spans="1:16" s="64" customFormat="1" ht="76.5" x14ac:dyDescent="0.25">
      <c r="A17" s="57">
        <v>7</v>
      </c>
      <c r="B17" s="58" t="s">
        <v>44</v>
      </c>
      <c r="C17" s="59"/>
      <c r="D17" s="65" t="s">
        <v>97</v>
      </c>
      <c r="E17" s="61" t="s">
        <v>17</v>
      </c>
      <c r="F17" s="61" t="s">
        <v>71</v>
      </c>
      <c r="G17" s="62">
        <v>1</v>
      </c>
      <c r="H17" s="103">
        <f>ROUND((0.0017+0.03925*0.015*1)*0.29,3)</f>
        <v>1E-3</v>
      </c>
      <c r="I17" s="9"/>
      <c r="J17" s="96"/>
      <c r="K17" s="6">
        <f t="shared" ref="K17:K25" si="1">I17</f>
        <v>0</v>
      </c>
      <c r="L17" s="6">
        <f t="shared" si="0"/>
        <v>0</v>
      </c>
      <c r="M17" s="6"/>
      <c r="N17" s="7">
        <f t="shared" ref="N17:N25" si="2">L17</f>
        <v>0</v>
      </c>
      <c r="O17" s="63"/>
      <c r="P17" s="99"/>
    </row>
    <row r="18" spans="1:16" s="64" customFormat="1" ht="102" x14ac:dyDescent="0.25">
      <c r="A18" s="57">
        <v>8</v>
      </c>
      <c r="B18" s="58" t="s">
        <v>44</v>
      </c>
      <c r="C18" s="59"/>
      <c r="D18" s="65" t="s">
        <v>98</v>
      </c>
      <c r="E18" s="61" t="s">
        <v>17</v>
      </c>
      <c r="F18" s="61" t="s">
        <v>71</v>
      </c>
      <c r="G18" s="62">
        <v>1</v>
      </c>
      <c r="H18" s="103">
        <f>ROUND((0.0017+0.0017+1.35*4*0.00139+1.35*6*0.001075+0.03925*0.015*4)*4.08,3)</f>
        <v>0.09</v>
      </c>
      <c r="I18" s="9"/>
      <c r="J18" s="96"/>
      <c r="K18" s="6">
        <f t="shared" si="1"/>
        <v>0</v>
      </c>
      <c r="L18" s="6">
        <f t="shared" si="0"/>
        <v>0</v>
      </c>
      <c r="M18" s="6"/>
      <c r="N18" s="7">
        <f t="shared" si="2"/>
        <v>0</v>
      </c>
      <c r="O18" s="63"/>
      <c r="P18" s="99"/>
    </row>
    <row r="19" spans="1:16" s="64" customFormat="1" ht="102" x14ac:dyDescent="0.25">
      <c r="A19" s="57">
        <v>9</v>
      </c>
      <c r="B19" s="58" t="s">
        <v>44</v>
      </c>
      <c r="C19" s="59"/>
      <c r="D19" s="65" t="s">
        <v>99</v>
      </c>
      <c r="E19" s="61" t="s">
        <v>17</v>
      </c>
      <c r="F19" s="61" t="s">
        <v>71</v>
      </c>
      <c r="G19" s="62">
        <v>1</v>
      </c>
      <c r="H19" s="103">
        <f>ROUND((0.0017+0.0017+1.35*4*0.00139+1.35*6*0.001075+0.03925*0.015*4)*4.27,3)</f>
        <v>9.4E-2</v>
      </c>
      <c r="I19" s="9"/>
      <c r="J19" s="96"/>
      <c r="K19" s="6">
        <f t="shared" si="1"/>
        <v>0</v>
      </c>
      <c r="L19" s="6">
        <f t="shared" si="0"/>
        <v>0</v>
      </c>
      <c r="M19" s="6"/>
      <c r="N19" s="7">
        <f t="shared" si="2"/>
        <v>0</v>
      </c>
      <c r="O19" s="63"/>
      <c r="P19" s="99"/>
    </row>
    <row r="20" spans="1:16" s="64" customFormat="1" ht="102" x14ac:dyDescent="0.25">
      <c r="A20" s="57">
        <v>10</v>
      </c>
      <c r="B20" s="58" t="s">
        <v>44</v>
      </c>
      <c r="C20" s="59"/>
      <c r="D20" s="65" t="s">
        <v>100</v>
      </c>
      <c r="E20" s="61" t="s">
        <v>17</v>
      </c>
      <c r="F20" s="61" t="s">
        <v>71</v>
      </c>
      <c r="G20" s="62">
        <v>1</v>
      </c>
      <c r="H20" s="103">
        <f>ROUND((0.0017+0.0017+1.35*4*0.00139+1.35*6*0.001075+0.03925*0.015*4)*30.51,3)</f>
        <v>0.67</v>
      </c>
      <c r="I20" s="9"/>
      <c r="J20" s="96"/>
      <c r="K20" s="6">
        <f t="shared" si="1"/>
        <v>0</v>
      </c>
      <c r="L20" s="6">
        <f t="shared" si="0"/>
        <v>0</v>
      </c>
      <c r="M20" s="6"/>
      <c r="N20" s="7">
        <f t="shared" si="2"/>
        <v>0</v>
      </c>
      <c r="O20" s="63"/>
      <c r="P20" s="99"/>
    </row>
    <row r="21" spans="1:16" s="64" customFormat="1" ht="102" x14ac:dyDescent="0.25">
      <c r="A21" s="57">
        <v>11</v>
      </c>
      <c r="B21" s="58" t="s">
        <v>44</v>
      </c>
      <c r="C21" s="59"/>
      <c r="D21" s="65" t="s">
        <v>101</v>
      </c>
      <c r="E21" s="61" t="s">
        <v>17</v>
      </c>
      <c r="F21" s="61" t="s">
        <v>71</v>
      </c>
      <c r="G21" s="62">
        <v>1</v>
      </c>
      <c r="H21" s="103">
        <f>ROUND((0.0017+0.0017+1.35*4*0.00139+1.35*6*0.001075+0.03925*0.015*4)*30.51,3)</f>
        <v>0.67</v>
      </c>
      <c r="I21" s="9"/>
      <c r="J21" s="96"/>
      <c r="K21" s="6">
        <f t="shared" ref="K21" si="3">I21</f>
        <v>0</v>
      </c>
      <c r="L21" s="6">
        <f t="shared" si="0"/>
        <v>0</v>
      </c>
      <c r="M21" s="6"/>
      <c r="N21" s="7">
        <f t="shared" ref="N21" si="4">L21</f>
        <v>0</v>
      </c>
      <c r="O21" s="63"/>
      <c r="P21" s="99"/>
    </row>
    <row r="22" spans="1:16" s="64" customFormat="1" ht="102" x14ac:dyDescent="0.25">
      <c r="A22" s="57">
        <v>12</v>
      </c>
      <c r="B22" s="58" t="s">
        <v>44</v>
      </c>
      <c r="C22" s="59"/>
      <c r="D22" s="65" t="s">
        <v>102</v>
      </c>
      <c r="E22" s="61" t="s">
        <v>17</v>
      </c>
      <c r="F22" s="61" t="s">
        <v>71</v>
      </c>
      <c r="G22" s="62">
        <v>1</v>
      </c>
      <c r="H22" s="103">
        <f>ROUND((0.0017+0.0017+1.35*4*0.00139+1.35*6*0.001075+0.03925*0.015*4)*3.97,3)</f>
        <v>8.6999999999999994E-2</v>
      </c>
      <c r="I22" s="9"/>
      <c r="J22" s="96"/>
      <c r="K22" s="6">
        <f t="shared" si="1"/>
        <v>0</v>
      </c>
      <c r="L22" s="6">
        <f t="shared" si="0"/>
        <v>0</v>
      </c>
      <c r="M22" s="6"/>
      <c r="N22" s="7">
        <f t="shared" si="2"/>
        <v>0</v>
      </c>
      <c r="O22" s="63"/>
      <c r="P22" s="99"/>
    </row>
    <row r="23" spans="1:16" s="64" customFormat="1" ht="102" x14ac:dyDescent="0.25">
      <c r="A23" s="57">
        <v>13</v>
      </c>
      <c r="B23" s="58" t="s">
        <v>44</v>
      </c>
      <c r="C23" s="59"/>
      <c r="D23" s="65" t="s">
        <v>103</v>
      </c>
      <c r="E23" s="61" t="s">
        <v>17</v>
      </c>
      <c r="F23" s="61" t="s">
        <v>71</v>
      </c>
      <c r="G23" s="62">
        <v>1</v>
      </c>
      <c r="H23" s="103">
        <f>ROUND((0.0017+0.0017+1.35*4*0.00139+1.35*6*0.001075+0.03925*0.015*4)*1.35,3)</f>
        <v>0.03</v>
      </c>
      <c r="I23" s="9"/>
      <c r="J23" s="96"/>
      <c r="K23" s="6">
        <f t="shared" si="1"/>
        <v>0</v>
      </c>
      <c r="L23" s="6">
        <f t="shared" si="0"/>
        <v>0</v>
      </c>
      <c r="M23" s="6"/>
      <c r="N23" s="7">
        <f t="shared" si="2"/>
        <v>0</v>
      </c>
      <c r="O23" s="63"/>
      <c r="P23" s="99"/>
    </row>
    <row r="24" spans="1:16" s="64" customFormat="1" ht="102" x14ac:dyDescent="0.25">
      <c r="A24" s="57">
        <v>14</v>
      </c>
      <c r="B24" s="58" t="s">
        <v>44</v>
      </c>
      <c r="C24" s="59"/>
      <c r="D24" s="65" t="s">
        <v>104</v>
      </c>
      <c r="E24" s="61" t="s">
        <v>17</v>
      </c>
      <c r="F24" s="61" t="s">
        <v>71</v>
      </c>
      <c r="G24" s="62">
        <v>1</v>
      </c>
      <c r="H24" s="103">
        <f>ROUND((0.0017+1.35*2*0.001075)*5.67,3)</f>
        <v>2.5999999999999999E-2</v>
      </c>
      <c r="I24" s="9"/>
      <c r="J24" s="96"/>
      <c r="K24" s="6">
        <f t="shared" si="1"/>
        <v>0</v>
      </c>
      <c r="L24" s="6">
        <f t="shared" si="0"/>
        <v>0</v>
      </c>
      <c r="M24" s="6"/>
      <c r="N24" s="7">
        <f t="shared" si="2"/>
        <v>0</v>
      </c>
      <c r="O24" s="63"/>
      <c r="P24" s="99"/>
    </row>
    <row r="25" spans="1:16" s="64" customFormat="1" ht="102" x14ac:dyDescent="0.25">
      <c r="A25" s="57">
        <v>15</v>
      </c>
      <c r="B25" s="58" t="s">
        <v>44</v>
      </c>
      <c r="C25" s="59"/>
      <c r="D25" s="65" t="s">
        <v>105</v>
      </c>
      <c r="E25" s="61" t="s">
        <v>17</v>
      </c>
      <c r="F25" s="61" t="s">
        <v>71</v>
      </c>
      <c r="G25" s="62">
        <v>1</v>
      </c>
      <c r="H25" s="103">
        <f>ROUND((0.0017+0.0017+1.35*4*0.00139+1.35*6*0.001075+0.03925*0.015*4)*3.61,3)</f>
        <v>7.9000000000000001E-2</v>
      </c>
      <c r="I25" s="9"/>
      <c r="J25" s="96"/>
      <c r="K25" s="6">
        <f t="shared" si="1"/>
        <v>0</v>
      </c>
      <c r="L25" s="6">
        <f t="shared" si="0"/>
        <v>0</v>
      </c>
      <c r="M25" s="6"/>
      <c r="N25" s="7">
        <f t="shared" si="2"/>
        <v>0</v>
      </c>
      <c r="O25" s="63"/>
      <c r="P25" s="99"/>
    </row>
    <row r="26" spans="1:16" s="56" customFormat="1" ht="38.25" x14ac:dyDescent="0.25">
      <c r="A26" s="49">
        <v>16</v>
      </c>
      <c r="B26" s="50" t="s">
        <v>43</v>
      </c>
      <c r="C26" s="51" t="s">
        <v>63</v>
      </c>
      <c r="D26" s="52" t="s">
        <v>62</v>
      </c>
      <c r="E26" s="53" t="s">
        <v>16</v>
      </c>
      <c r="F26" s="53" t="s">
        <v>70</v>
      </c>
      <c r="G26" s="54">
        <v>1</v>
      </c>
      <c r="H26" s="18">
        <f>H27</f>
        <v>4.83</v>
      </c>
      <c r="I26" s="94"/>
      <c r="J26" s="95"/>
      <c r="K26" s="19">
        <f>J26</f>
        <v>0</v>
      </c>
      <c r="L26" s="19"/>
      <c r="M26" s="19">
        <f>H26*J26</f>
        <v>0</v>
      </c>
      <c r="N26" s="20">
        <f>M26</f>
        <v>0</v>
      </c>
      <c r="O26" s="55"/>
      <c r="P26" s="98" t="s">
        <v>47</v>
      </c>
    </row>
    <row r="27" spans="1:16" s="64" customFormat="1" ht="38.25" x14ac:dyDescent="0.25">
      <c r="A27" s="57">
        <v>17</v>
      </c>
      <c r="B27" s="58" t="s">
        <v>44</v>
      </c>
      <c r="C27" s="59"/>
      <c r="D27" s="60" t="s">
        <v>82</v>
      </c>
      <c r="E27" s="61" t="s">
        <v>17</v>
      </c>
      <c r="F27" s="61" t="s">
        <v>70</v>
      </c>
      <c r="G27" s="62">
        <v>1</v>
      </c>
      <c r="H27" s="8">
        <f>ROUND(1*(3.69+1.14),2)</f>
        <v>4.83</v>
      </c>
      <c r="I27" s="9"/>
      <c r="J27" s="10"/>
      <c r="K27" s="6">
        <f t="shared" ref="K27" si="5">I27</f>
        <v>0</v>
      </c>
      <c r="L27" s="6">
        <f>H27*I27</f>
        <v>0</v>
      </c>
      <c r="M27" s="6"/>
      <c r="N27" s="7">
        <f t="shared" ref="N27" si="6">L27</f>
        <v>0</v>
      </c>
      <c r="O27" s="63"/>
      <c r="P27" s="99"/>
    </row>
    <row r="28" spans="1:16" s="56" customFormat="1" ht="51" x14ac:dyDescent="0.25">
      <c r="A28" s="41">
        <v>18</v>
      </c>
      <c r="B28" s="42" t="s">
        <v>43</v>
      </c>
      <c r="C28" s="43" t="s">
        <v>61</v>
      </c>
      <c r="D28" s="44" t="s">
        <v>49</v>
      </c>
      <c r="E28" s="45" t="s">
        <v>16</v>
      </c>
      <c r="F28" s="45" t="s">
        <v>18</v>
      </c>
      <c r="G28" s="46">
        <v>1</v>
      </c>
      <c r="H28" s="11">
        <f>H29</f>
        <v>2</v>
      </c>
      <c r="I28" s="92"/>
      <c r="J28" s="93"/>
      <c r="K28" s="17">
        <f>J28</f>
        <v>0</v>
      </c>
      <c r="L28" s="12"/>
      <c r="M28" s="12">
        <f>H28*J28</f>
        <v>0</v>
      </c>
      <c r="N28" s="13">
        <f>M28</f>
        <v>0</v>
      </c>
      <c r="O28" s="55"/>
      <c r="P28" s="98" t="s">
        <v>49</v>
      </c>
    </row>
    <row r="29" spans="1:16" s="64" customFormat="1" ht="25.5" x14ac:dyDescent="0.25">
      <c r="A29" s="57">
        <v>19</v>
      </c>
      <c r="B29" s="58" t="s">
        <v>44</v>
      </c>
      <c r="C29" s="59"/>
      <c r="D29" s="60" t="s">
        <v>50</v>
      </c>
      <c r="E29" s="61" t="s">
        <v>17</v>
      </c>
      <c r="F29" s="61" t="s">
        <v>18</v>
      </c>
      <c r="G29" s="62">
        <v>1</v>
      </c>
      <c r="H29" s="8">
        <v>2</v>
      </c>
      <c r="I29" s="9"/>
      <c r="J29" s="10"/>
      <c r="K29" s="6">
        <f>I29</f>
        <v>0</v>
      </c>
      <c r="L29" s="6">
        <f>H29*I29</f>
        <v>0</v>
      </c>
      <c r="M29" s="6"/>
      <c r="N29" s="7">
        <f>L29</f>
        <v>0</v>
      </c>
      <c r="O29" s="63"/>
      <c r="P29" s="99"/>
    </row>
    <row r="30" spans="1:16" s="56" customFormat="1" ht="63.75" x14ac:dyDescent="0.25">
      <c r="A30" s="41">
        <v>20</v>
      </c>
      <c r="B30" s="42" t="s">
        <v>43</v>
      </c>
      <c r="C30" s="43" t="s">
        <v>61</v>
      </c>
      <c r="D30" s="44" t="s">
        <v>52</v>
      </c>
      <c r="E30" s="45" t="s">
        <v>16</v>
      </c>
      <c r="F30" s="45" t="s">
        <v>51</v>
      </c>
      <c r="G30" s="46">
        <v>1</v>
      </c>
      <c r="H30" s="11">
        <f>H31</f>
        <v>317</v>
      </c>
      <c r="I30" s="92"/>
      <c r="J30" s="93"/>
      <c r="K30" s="17">
        <f>J30</f>
        <v>0</v>
      </c>
      <c r="L30" s="12"/>
      <c r="M30" s="12">
        <f>H30*J30</f>
        <v>0</v>
      </c>
      <c r="N30" s="13">
        <f>M30</f>
        <v>0</v>
      </c>
      <c r="O30" s="55"/>
      <c r="P30" s="98" t="s">
        <v>52</v>
      </c>
    </row>
    <row r="31" spans="1:16" s="64" customFormat="1" ht="25.5" x14ac:dyDescent="0.25">
      <c r="A31" s="57">
        <v>21</v>
      </c>
      <c r="B31" s="58" t="s">
        <v>44</v>
      </c>
      <c r="C31" s="59"/>
      <c r="D31" s="60" t="s">
        <v>53</v>
      </c>
      <c r="E31" s="61" t="s">
        <v>17</v>
      </c>
      <c r="F31" s="61" t="s">
        <v>51</v>
      </c>
      <c r="G31" s="62">
        <v>1</v>
      </c>
      <c r="H31" s="8">
        <v>317</v>
      </c>
      <c r="I31" s="9"/>
      <c r="J31" s="10"/>
      <c r="K31" s="6">
        <f>I31</f>
        <v>0</v>
      </c>
      <c r="L31" s="6">
        <f t="shared" ref="L31:L35" si="7">H31*I31</f>
        <v>0</v>
      </c>
      <c r="M31" s="6"/>
      <c r="N31" s="7">
        <f>L31</f>
        <v>0</v>
      </c>
      <c r="O31" s="63"/>
      <c r="P31" s="99"/>
    </row>
    <row r="32" spans="1:16" s="64" customFormat="1" ht="25.5" x14ac:dyDescent="0.25">
      <c r="A32" s="57">
        <v>22</v>
      </c>
      <c r="B32" s="58" t="s">
        <v>44</v>
      </c>
      <c r="C32" s="59"/>
      <c r="D32" s="60" t="s">
        <v>54</v>
      </c>
      <c r="E32" s="61" t="s">
        <v>17</v>
      </c>
      <c r="F32" s="61" t="s">
        <v>71</v>
      </c>
      <c r="G32" s="62">
        <v>1.04</v>
      </c>
      <c r="H32" s="101">
        <f>ROUND((ROUNDUP(318/0.6,0)*0.1*8.59/1000)*G32,3)</f>
        <v>0.47299999999999998</v>
      </c>
      <c r="I32" s="9"/>
      <c r="J32" s="10"/>
      <c r="K32" s="6">
        <f t="shared" ref="K32:K35" si="8">I32</f>
        <v>0</v>
      </c>
      <c r="L32" s="6">
        <f t="shared" si="7"/>
        <v>0</v>
      </c>
      <c r="M32" s="6"/>
      <c r="N32" s="7">
        <f t="shared" ref="N32:N35" si="9">L32</f>
        <v>0</v>
      </c>
      <c r="O32" s="63"/>
      <c r="P32" s="99"/>
    </row>
    <row r="33" spans="1:16" s="64" customFormat="1" ht="25.5" x14ac:dyDescent="0.25">
      <c r="A33" s="57">
        <v>23</v>
      </c>
      <c r="B33" s="58" t="s">
        <v>44</v>
      </c>
      <c r="C33" s="59"/>
      <c r="D33" s="60" t="s">
        <v>55</v>
      </c>
      <c r="E33" s="61" t="s">
        <v>17</v>
      </c>
      <c r="F33" s="61" t="s">
        <v>71</v>
      </c>
      <c r="G33" s="62">
        <v>1.04</v>
      </c>
      <c r="H33" s="101">
        <f>ROUND((ROUNDUP(165/0.6,0)*0.08*0.222/1000)*G33+(ROUNDUP(153/0.6,0)*0.16*0.222/1000)*G33,3)</f>
        <v>1.4E-2</v>
      </c>
      <c r="I33" s="9"/>
      <c r="J33" s="10"/>
      <c r="K33" s="6">
        <f t="shared" si="8"/>
        <v>0</v>
      </c>
      <c r="L33" s="6">
        <f t="shared" si="7"/>
        <v>0</v>
      </c>
      <c r="M33" s="6"/>
      <c r="N33" s="7">
        <f t="shared" si="9"/>
        <v>0</v>
      </c>
      <c r="O33" s="63"/>
      <c r="P33" s="99"/>
    </row>
    <row r="34" spans="1:16" s="64" customFormat="1" ht="25.5" x14ac:dyDescent="0.25">
      <c r="A34" s="57">
        <v>24</v>
      </c>
      <c r="B34" s="58" t="s">
        <v>44</v>
      </c>
      <c r="C34" s="59"/>
      <c r="D34" s="60" t="s">
        <v>56</v>
      </c>
      <c r="E34" s="61" t="s">
        <v>17</v>
      </c>
      <c r="F34" s="61" t="s">
        <v>71</v>
      </c>
      <c r="G34" s="62">
        <v>1.04</v>
      </c>
      <c r="H34" s="101">
        <f>ROUND((52*0.222/1000)*G34,3)</f>
        <v>1.2E-2</v>
      </c>
      <c r="I34" s="9"/>
      <c r="J34" s="10"/>
      <c r="K34" s="6">
        <f t="shared" si="8"/>
        <v>0</v>
      </c>
      <c r="L34" s="6">
        <f t="shared" si="7"/>
        <v>0</v>
      </c>
      <c r="M34" s="6"/>
      <c r="N34" s="7">
        <f t="shared" si="9"/>
        <v>0</v>
      </c>
      <c r="O34" s="63"/>
      <c r="P34" s="99"/>
    </row>
    <row r="35" spans="1:16" s="64" customFormat="1" ht="26.25" thickBot="1" x14ac:dyDescent="0.3">
      <c r="A35" s="57">
        <v>25</v>
      </c>
      <c r="B35" s="58" t="s">
        <v>44</v>
      </c>
      <c r="C35" s="59"/>
      <c r="D35" s="60" t="s">
        <v>57</v>
      </c>
      <c r="E35" s="61" t="s">
        <v>17</v>
      </c>
      <c r="F35" s="61" t="s">
        <v>18</v>
      </c>
      <c r="G35" s="62">
        <v>1</v>
      </c>
      <c r="H35" s="8">
        <f>ROUNDUP(180/0.6,0)</f>
        <v>300</v>
      </c>
      <c r="I35" s="9"/>
      <c r="J35" s="10"/>
      <c r="K35" s="6">
        <f t="shared" si="8"/>
        <v>0</v>
      </c>
      <c r="L35" s="6">
        <f t="shared" si="7"/>
        <v>0</v>
      </c>
      <c r="M35" s="6"/>
      <c r="N35" s="7">
        <f t="shared" si="9"/>
        <v>0</v>
      </c>
      <c r="O35" s="63"/>
      <c r="P35" s="100"/>
    </row>
    <row r="36" spans="1:16" x14ac:dyDescent="0.25">
      <c r="A36" s="25"/>
      <c r="B36" s="16"/>
      <c r="C36" s="1"/>
      <c r="D36" s="2" t="s">
        <v>19</v>
      </c>
      <c r="E36" s="1"/>
      <c r="F36" s="1"/>
      <c r="G36" s="1"/>
      <c r="H36" s="15"/>
      <c r="I36" s="14"/>
      <c r="J36" s="3"/>
      <c r="K36" s="3"/>
      <c r="L36" s="4">
        <f>SUM(L11:L35)</f>
        <v>0</v>
      </c>
      <c r="M36" s="4">
        <f>SUM(M11:M35)</f>
        <v>0</v>
      </c>
      <c r="N36" s="5">
        <f>SUM(N11:N35)</f>
        <v>0</v>
      </c>
      <c r="O36" s="30"/>
      <c r="P36" s="33"/>
    </row>
    <row r="37" spans="1:16" x14ac:dyDescent="0.25">
      <c r="A37" s="131"/>
      <c r="B37" s="132"/>
      <c r="C37" s="69"/>
      <c r="D37" s="2" t="s">
        <v>35</v>
      </c>
      <c r="E37" s="1"/>
      <c r="F37" s="1"/>
      <c r="G37" s="1"/>
      <c r="H37" s="70"/>
      <c r="I37" s="71"/>
      <c r="J37" s="72"/>
      <c r="K37" s="72"/>
      <c r="L37" s="4"/>
      <c r="M37" s="4"/>
      <c r="N37" s="5">
        <f>N36/1.22*0.22</f>
        <v>0</v>
      </c>
      <c r="O37" s="30"/>
      <c r="P37" s="33"/>
    </row>
    <row r="38" spans="1:16" x14ac:dyDescent="0.25">
      <c r="A38" s="73" t="s">
        <v>20</v>
      </c>
      <c r="B38" s="74"/>
      <c r="C38" s="74"/>
      <c r="D38" s="74"/>
      <c r="E38" s="74"/>
      <c r="F38" s="74"/>
      <c r="G38" s="74"/>
      <c r="H38" s="75"/>
      <c r="I38" s="76"/>
      <c r="J38" s="76"/>
      <c r="K38" s="77"/>
      <c r="L38" s="77"/>
      <c r="M38" s="77"/>
      <c r="N38" s="78"/>
      <c r="O38" s="30"/>
      <c r="P38" s="33"/>
    </row>
    <row r="39" spans="1:16" x14ac:dyDescent="0.25">
      <c r="A39" s="137">
        <v>1</v>
      </c>
      <c r="B39" s="138"/>
      <c r="C39" s="79"/>
      <c r="D39" s="80" t="s">
        <v>21</v>
      </c>
      <c r="E39" s="108"/>
      <c r="F39" s="109"/>
      <c r="G39" s="109"/>
      <c r="H39" s="110"/>
      <c r="I39" s="111"/>
      <c r="J39" s="112"/>
      <c r="K39" s="113"/>
      <c r="L39" s="113"/>
      <c r="M39" s="113"/>
      <c r="N39" s="114"/>
      <c r="O39" s="30"/>
      <c r="P39" s="30"/>
    </row>
    <row r="40" spans="1:16" ht="30" customHeight="1" x14ac:dyDescent="0.25">
      <c r="A40" s="135">
        <v>2</v>
      </c>
      <c r="B40" s="136"/>
      <c r="C40" s="104"/>
      <c r="D40" s="81" t="s">
        <v>22</v>
      </c>
      <c r="E40" s="115"/>
      <c r="F40" s="116"/>
      <c r="G40" s="116"/>
      <c r="H40" s="117"/>
      <c r="I40" s="111"/>
      <c r="J40" s="112"/>
      <c r="K40" s="113"/>
      <c r="L40" s="113"/>
      <c r="M40" s="113"/>
      <c r="N40" s="114"/>
      <c r="O40" s="30"/>
      <c r="P40" s="33"/>
    </row>
    <row r="41" spans="1:16" x14ac:dyDescent="0.25">
      <c r="A41" s="135">
        <v>3</v>
      </c>
      <c r="B41" s="136"/>
      <c r="C41" s="79"/>
      <c r="D41" s="81" t="s">
        <v>23</v>
      </c>
      <c r="E41" s="115"/>
      <c r="F41" s="116"/>
      <c r="G41" s="116"/>
      <c r="H41" s="117"/>
      <c r="I41" s="111"/>
      <c r="J41" s="112"/>
      <c r="K41" s="113"/>
      <c r="L41" s="113"/>
      <c r="M41" s="113"/>
      <c r="N41" s="114"/>
      <c r="O41" s="30"/>
      <c r="P41" s="33"/>
    </row>
    <row r="42" spans="1:16" ht="25.5" x14ac:dyDescent="0.25">
      <c r="A42" s="135">
        <v>4</v>
      </c>
      <c r="B42" s="136"/>
      <c r="C42" s="104"/>
      <c r="D42" s="81" t="s">
        <v>24</v>
      </c>
      <c r="E42" s="115"/>
      <c r="F42" s="116"/>
      <c r="G42" s="116"/>
      <c r="H42" s="117"/>
      <c r="I42" s="111"/>
      <c r="J42" s="112"/>
      <c r="K42" s="113"/>
      <c r="L42" s="113"/>
      <c r="M42" s="113"/>
      <c r="N42" s="114"/>
      <c r="O42" s="30"/>
      <c r="P42" s="33"/>
    </row>
    <row r="43" spans="1:16" ht="25.5" x14ac:dyDescent="0.25">
      <c r="A43" s="135">
        <v>5</v>
      </c>
      <c r="B43" s="136"/>
      <c r="C43" s="79"/>
      <c r="D43" s="81" t="s">
        <v>25</v>
      </c>
      <c r="E43" s="115"/>
      <c r="F43" s="116"/>
      <c r="G43" s="116"/>
      <c r="H43" s="117"/>
      <c r="I43" s="111"/>
      <c r="J43" s="112"/>
      <c r="K43" s="113"/>
      <c r="L43" s="113"/>
      <c r="M43" s="113"/>
      <c r="N43" s="114"/>
      <c r="O43" s="30"/>
      <c r="P43" s="30"/>
    </row>
    <row r="44" spans="1:16" x14ac:dyDescent="0.25">
      <c r="A44" s="135">
        <v>6</v>
      </c>
      <c r="B44" s="136"/>
      <c r="C44" s="104"/>
      <c r="D44" s="81" t="s">
        <v>26</v>
      </c>
      <c r="E44" s="115"/>
      <c r="F44" s="116"/>
      <c r="G44" s="116"/>
      <c r="H44" s="117"/>
      <c r="I44" s="111"/>
      <c r="J44" s="112"/>
      <c r="K44" s="113"/>
      <c r="L44" s="113"/>
      <c r="M44" s="113"/>
      <c r="N44" s="114"/>
      <c r="O44" s="30"/>
      <c r="P44" s="33"/>
    </row>
    <row r="45" spans="1:16" x14ac:dyDescent="0.25">
      <c r="A45" s="135">
        <v>7</v>
      </c>
      <c r="B45" s="136"/>
      <c r="C45" s="79"/>
      <c r="D45" s="81" t="s">
        <v>27</v>
      </c>
      <c r="E45" s="115"/>
      <c r="F45" s="116"/>
      <c r="G45" s="116"/>
      <c r="H45" s="117"/>
      <c r="I45" s="111"/>
      <c r="J45" s="112"/>
      <c r="K45" s="113"/>
      <c r="L45" s="113"/>
      <c r="M45" s="113"/>
      <c r="N45" s="114"/>
      <c r="O45" s="30"/>
      <c r="P45" s="33"/>
    </row>
    <row r="46" spans="1:16" x14ac:dyDescent="0.25">
      <c r="A46" s="135">
        <v>8</v>
      </c>
      <c r="B46" s="136"/>
      <c r="C46" s="104"/>
      <c r="D46" s="81" t="s">
        <v>28</v>
      </c>
      <c r="E46" s="115"/>
      <c r="F46" s="116"/>
      <c r="G46" s="116"/>
      <c r="H46" s="117"/>
      <c r="I46" s="111"/>
      <c r="J46" s="112"/>
      <c r="K46" s="113"/>
      <c r="L46" s="113"/>
      <c r="M46" s="113"/>
      <c r="N46" s="114"/>
      <c r="O46" s="30"/>
      <c r="P46" s="33"/>
    </row>
    <row r="47" spans="1:16" x14ac:dyDescent="0.25">
      <c r="A47" s="135">
        <v>9</v>
      </c>
      <c r="B47" s="136"/>
      <c r="C47" s="79"/>
      <c r="D47" s="81" t="s">
        <v>29</v>
      </c>
      <c r="E47" s="115"/>
      <c r="F47" s="116"/>
      <c r="G47" s="116"/>
      <c r="H47" s="117"/>
      <c r="I47" s="111"/>
      <c r="J47" s="112"/>
      <c r="K47" s="113"/>
      <c r="L47" s="113"/>
      <c r="M47" s="113"/>
      <c r="N47" s="114"/>
      <c r="O47" s="30"/>
      <c r="P47" s="30"/>
    </row>
    <row r="48" spans="1:16" ht="25.5" x14ac:dyDescent="0.25">
      <c r="A48" s="135">
        <v>10</v>
      </c>
      <c r="B48" s="136"/>
      <c r="C48" s="104"/>
      <c r="D48" s="82" t="s">
        <v>30</v>
      </c>
      <c r="E48" s="118"/>
      <c r="F48" s="116"/>
      <c r="G48" s="116"/>
      <c r="H48" s="117"/>
      <c r="I48" s="111"/>
      <c r="J48" s="112"/>
      <c r="K48" s="113"/>
      <c r="L48" s="113"/>
      <c r="M48" s="113"/>
      <c r="N48" s="114"/>
      <c r="O48" s="30"/>
      <c r="P48" s="33"/>
    </row>
    <row r="49" spans="1:16" ht="15.75" thickBot="1" x14ac:dyDescent="0.3">
      <c r="A49" s="133">
        <v>11</v>
      </c>
      <c r="B49" s="134"/>
      <c r="C49" s="83"/>
      <c r="D49" s="84" t="s">
        <v>31</v>
      </c>
      <c r="E49" s="119"/>
      <c r="F49" s="120"/>
      <c r="G49" s="120"/>
      <c r="H49" s="121"/>
      <c r="I49" s="122"/>
      <c r="J49" s="123"/>
      <c r="K49" s="124"/>
      <c r="L49" s="124"/>
      <c r="M49" s="124"/>
      <c r="N49" s="125"/>
      <c r="O49" s="30"/>
      <c r="P49" s="33"/>
    </row>
    <row r="50" spans="1:16" x14ac:dyDescent="0.25">
      <c r="A50" s="85"/>
      <c r="B50" s="85"/>
      <c r="C50" s="86"/>
      <c r="D50" s="87"/>
      <c r="E50" s="85"/>
      <c r="F50" s="86"/>
      <c r="G50" s="86"/>
      <c r="H50" s="88"/>
      <c r="I50" s="86"/>
      <c r="J50" s="86"/>
      <c r="K50" s="89"/>
      <c r="L50" s="86"/>
      <c r="M50" s="86"/>
      <c r="N50" s="86"/>
      <c r="O50" s="30"/>
      <c r="P50" s="33"/>
    </row>
    <row r="51" spans="1:16" ht="96" customHeight="1" x14ac:dyDescent="0.25">
      <c r="A51" s="129" t="s">
        <v>65</v>
      </c>
      <c r="B51" s="129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30"/>
      <c r="P51" s="30"/>
    </row>
    <row r="52" spans="1:16" ht="47.25" customHeight="1" x14ac:dyDescent="0.25">
      <c r="A52" s="26"/>
      <c r="B52" s="26"/>
      <c r="C52" s="26"/>
      <c r="D52" s="27" t="s">
        <v>32</v>
      </c>
      <c r="E52" s="27"/>
      <c r="F52" s="27"/>
      <c r="G52" s="27"/>
      <c r="H52" s="27"/>
      <c r="I52" s="27"/>
      <c r="J52" s="28"/>
      <c r="K52" s="28"/>
      <c r="L52" s="90"/>
      <c r="M52" s="28"/>
      <c r="N52" s="91"/>
      <c r="O52" s="30"/>
      <c r="P52" s="33"/>
    </row>
  </sheetData>
  <sheetProtection autoFilter="0"/>
  <autoFilter ref="A10:N49" xr:uid="{00000000-0001-0000-0000-000000000000}"/>
  <mergeCells count="29">
    <mergeCell ref="A51:N51"/>
    <mergeCell ref="A44:B44"/>
    <mergeCell ref="A45:B45"/>
    <mergeCell ref="A46:B46"/>
    <mergeCell ref="A47:B47"/>
    <mergeCell ref="A48:B48"/>
    <mergeCell ref="A49:B49"/>
    <mergeCell ref="A43:B43"/>
    <mergeCell ref="H8:H9"/>
    <mergeCell ref="I8:J8"/>
    <mergeCell ref="K8:K9"/>
    <mergeCell ref="L8:M8"/>
    <mergeCell ref="A37:B37"/>
    <mergeCell ref="A39:B39"/>
    <mergeCell ref="A40:B40"/>
    <mergeCell ref="A41:B41"/>
    <mergeCell ref="A42:B42"/>
    <mergeCell ref="N8:N9"/>
    <mergeCell ref="P8:P10"/>
    <mergeCell ref="A3:N3"/>
    <mergeCell ref="A4:N4"/>
    <mergeCell ref="A5:N5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68A86-7698-45A3-9DE3-94CCFD760FB5}">
  <dimension ref="A1:P54"/>
  <sheetViews>
    <sheetView zoomScale="90" zoomScaleNormal="90" workbookViewId="0"/>
  </sheetViews>
  <sheetFormatPr defaultColWidth="9.140625" defaultRowHeight="15" x14ac:dyDescent="0.25"/>
  <cols>
    <col min="1" max="1" width="9.5703125" style="48" customWidth="1"/>
    <col min="2" max="2" width="2.7109375" style="48" bestFit="1" customWidth="1"/>
    <col min="3" max="3" width="13.5703125" style="31" bestFit="1" customWidth="1"/>
    <col min="4" max="4" width="42.85546875" style="31" customWidth="1"/>
    <col min="5" max="5" width="17" style="31" customWidth="1"/>
    <col min="6" max="6" width="9.7109375" style="31" customWidth="1"/>
    <col min="7" max="7" width="9.5703125" style="31" customWidth="1"/>
    <col min="8" max="8" width="10.7109375" style="31" customWidth="1"/>
    <col min="9" max="10" width="13.7109375" style="31" customWidth="1"/>
    <col min="11" max="11" width="14.7109375" style="31" customWidth="1"/>
    <col min="12" max="12" width="13.28515625" style="31" customWidth="1"/>
    <col min="13" max="13" width="14.7109375" style="31" customWidth="1"/>
    <col min="14" max="14" width="17.28515625" style="31" customWidth="1"/>
    <col min="15" max="15" width="2.7109375" style="31" customWidth="1"/>
    <col min="16" max="16" width="62.140625" style="31" customWidth="1"/>
    <col min="17" max="16384" width="9.140625" style="31"/>
  </cols>
  <sheetData>
    <row r="1" spans="1:16" x14ac:dyDescent="0.25">
      <c r="A1" s="26"/>
      <c r="B1" s="26"/>
      <c r="C1" s="26"/>
      <c r="D1" s="27"/>
      <c r="E1" s="27"/>
      <c r="F1" s="27"/>
      <c r="G1" s="27"/>
      <c r="H1" s="27"/>
      <c r="I1" s="28"/>
      <c r="J1" s="28"/>
      <c r="K1" s="28"/>
      <c r="L1" s="28"/>
      <c r="M1" s="28"/>
      <c r="N1" s="29" t="s">
        <v>0</v>
      </c>
      <c r="O1" s="30"/>
      <c r="P1" s="30"/>
    </row>
    <row r="2" spans="1:16" x14ac:dyDescent="0.25">
      <c r="A2" s="26"/>
      <c r="B2" s="26"/>
      <c r="C2" s="26"/>
      <c r="D2" s="27"/>
      <c r="E2" s="27"/>
      <c r="F2" s="27"/>
      <c r="G2" s="27"/>
      <c r="H2" s="27"/>
      <c r="I2" s="28"/>
      <c r="J2" s="28"/>
      <c r="K2" s="28"/>
      <c r="L2" s="28"/>
      <c r="M2" s="28"/>
      <c r="N2" s="29" t="s">
        <v>1</v>
      </c>
      <c r="O2" s="30"/>
      <c r="P2" s="30"/>
    </row>
    <row r="3" spans="1:16" ht="18.75" x14ac:dyDescent="0.25">
      <c r="A3" s="139" t="s">
        <v>2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30"/>
      <c r="P3" s="30"/>
    </row>
    <row r="4" spans="1:16" ht="15.75" x14ac:dyDescent="0.25">
      <c r="A4" s="140" t="s">
        <v>45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30"/>
      <c r="P4" s="30"/>
    </row>
    <row r="5" spans="1:16" ht="15.75" x14ac:dyDescent="0.25">
      <c r="A5" s="141" t="s">
        <v>37</v>
      </c>
      <c r="B5" s="141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30"/>
      <c r="P5" s="30"/>
    </row>
    <row r="6" spans="1:16" ht="15.75" x14ac:dyDescent="0.25">
      <c r="A6" s="32"/>
      <c r="B6" s="32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30"/>
      <c r="P6" s="30"/>
    </row>
    <row r="7" spans="1:16" ht="16.5" thickBot="1" x14ac:dyDescent="0.3">
      <c r="A7" s="33"/>
      <c r="B7" s="33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30"/>
      <c r="P7" s="30"/>
    </row>
    <row r="8" spans="1:16" x14ac:dyDescent="0.25">
      <c r="A8" s="143" t="s">
        <v>34</v>
      </c>
      <c r="B8" s="153"/>
      <c r="C8" s="145" t="s">
        <v>3</v>
      </c>
      <c r="D8" s="147" t="s">
        <v>4</v>
      </c>
      <c r="E8" s="147" t="s">
        <v>5</v>
      </c>
      <c r="F8" s="147" t="s">
        <v>6</v>
      </c>
      <c r="G8" s="149" t="s">
        <v>7</v>
      </c>
      <c r="H8" s="151" t="s">
        <v>8</v>
      </c>
      <c r="I8" s="155" t="s">
        <v>36</v>
      </c>
      <c r="J8" s="156"/>
      <c r="K8" s="156" t="s">
        <v>10</v>
      </c>
      <c r="L8" s="156" t="s">
        <v>11</v>
      </c>
      <c r="M8" s="156"/>
      <c r="N8" s="158" t="s">
        <v>12</v>
      </c>
      <c r="O8" s="27" t="s">
        <v>13</v>
      </c>
      <c r="P8" s="126" t="s">
        <v>9</v>
      </c>
    </row>
    <row r="9" spans="1:16" ht="26.25" thickBot="1" x14ac:dyDescent="0.3">
      <c r="A9" s="144"/>
      <c r="B9" s="154"/>
      <c r="C9" s="146"/>
      <c r="D9" s="148"/>
      <c r="E9" s="148"/>
      <c r="F9" s="148"/>
      <c r="G9" s="150"/>
      <c r="H9" s="152"/>
      <c r="I9" s="34" t="s">
        <v>14</v>
      </c>
      <c r="J9" s="107" t="s">
        <v>15</v>
      </c>
      <c r="K9" s="157"/>
      <c r="L9" s="107" t="s">
        <v>14</v>
      </c>
      <c r="M9" s="107" t="s">
        <v>15</v>
      </c>
      <c r="N9" s="159"/>
      <c r="O9" s="30"/>
      <c r="P9" s="127"/>
    </row>
    <row r="10" spans="1:16" ht="15.75" thickBot="1" x14ac:dyDescent="0.3">
      <c r="A10" s="35">
        <v>1</v>
      </c>
      <c r="B10" s="36"/>
      <c r="C10" s="37">
        <v>2</v>
      </c>
      <c r="D10" s="38">
        <v>3</v>
      </c>
      <c r="E10" s="38">
        <v>4</v>
      </c>
      <c r="F10" s="38">
        <v>5</v>
      </c>
      <c r="G10" s="39">
        <v>6</v>
      </c>
      <c r="H10" s="21">
        <v>7</v>
      </c>
      <c r="I10" s="22">
        <v>8</v>
      </c>
      <c r="J10" s="23">
        <v>9</v>
      </c>
      <c r="K10" s="23">
        <v>10</v>
      </c>
      <c r="L10" s="23">
        <v>11</v>
      </c>
      <c r="M10" s="23">
        <v>12</v>
      </c>
      <c r="N10" s="24">
        <v>13</v>
      </c>
      <c r="O10" s="40"/>
      <c r="P10" s="128"/>
    </row>
    <row r="11" spans="1:16" s="48" customFormat="1" ht="27" customHeight="1" x14ac:dyDescent="0.25">
      <c r="A11" s="41">
        <v>1</v>
      </c>
      <c r="B11" s="42"/>
      <c r="C11" s="43" t="s">
        <v>61</v>
      </c>
      <c r="D11" s="44" t="s">
        <v>60</v>
      </c>
      <c r="E11" s="45"/>
      <c r="F11" s="45"/>
      <c r="G11" s="46"/>
      <c r="H11" s="11"/>
      <c r="I11" s="92"/>
      <c r="J11" s="93"/>
      <c r="K11" s="17"/>
      <c r="L11" s="12"/>
      <c r="M11" s="12"/>
      <c r="N11" s="13"/>
      <c r="O11" s="47"/>
      <c r="P11" s="97"/>
    </row>
    <row r="12" spans="1:16" s="56" customFormat="1" ht="38.25" x14ac:dyDescent="0.25">
      <c r="A12" s="49">
        <v>2</v>
      </c>
      <c r="B12" s="50" t="s">
        <v>43</v>
      </c>
      <c r="C12" s="51" t="s">
        <v>58</v>
      </c>
      <c r="D12" s="52" t="s">
        <v>59</v>
      </c>
      <c r="E12" s="53" t="s">
        <v>16</v>
      </c>
      <c r="F12" s="53" t="s">
        <v>18</v>
      </c>
      <c r="G12" s="54">
        <v>1</v>
      </c>
      <c r="H12" s="18">
        <f>H13</f>
        <v>1</v>
      </c>
      <c r="I12" s="94"/>
      <c r="J12" s="95"/>
      <c r="K12" s="19">
        <f>J12</f>
        <v>0</v>
      </c>
      <c r="L12" s="19"/>
      <c r="M12" s="19">
        <f>H12*J12</f>
        <v>0</v>
      </c>
      <c r="N12" s="20">
        <f>M12</f>
        <v>0</v>
      </c>
      <c r="O12" s="55"/>
      <c r="P12" s="98" t="s">
        <v>48</v>
      </c>
    </row>
    <row r="13" spans="1:16" s="64" customFormat="1" ht="38.25" x14ac:dyDescent="0.25">
      <c r="A13" s="57">
        <v>3</v>
      </c>
      <c r="B13" s="58" t="s">
        <v>44</v>
      </c>
      <c r="C13" s="59"/>
      <c r="D13" s="60" t="s">
        <v>69</v>
      </c>
      <c r="E13" s="61" t="s">
        <v>17</v>
      </c>
      <c r="F13" s="61" t="s">
        <v>18</v>
      </c>
      <c r="G13" s="62">
        <v>1</v>
      </c>
      <c r="H13" s="8">
        <v>1</v>
      </c>
      <c r="I13" s="9"/>
      <c r="J13" s="10"/>
      <c r="K13" s="6">
        <f>I13</f>
        <v>0</v>
      </c>
      <c r="L13" s="6">
        <f>H13*I13</f>
        <v>0</v>
      </c>
      <c r="M13" s="6"/>
      <c r="N13" s="7">
        <f>L13</f>
        <v>0</v>
      </c>
      <c r="O13" s="63"/>
      <c r="P13" s="99"/>
    </row>
    <row r="14" spans="1:16" s="56" customFormat="1" ht="38.25" x14ac:dyDescent="0.25">
      <c r="A14" s="49">
        <v>4</v>
      </c>
      <c r="B14" s="50" t="s">
        <v>43</v>
      </c>
      <c r="C14" s="51" t="s">
        <v>63</v>
      </c>
      <c r="D14" s="52" t="s">
        <v>62</v>
      </c>
      <c r="E14" s="53" t="s">
        <v>16</v>
      </c>
      <c r="F14" s="53" t="s">
        <v>70</v>
      </c>
      <c r="G14" s="54">
        <v>1</v>
      </c>
      <c r="H14" s="18">
        <f>ROUND(3.62+3.62+0.29+4.08+4.27+47.46+47.46+3.97+1.35+8.37+3.61,2)</f>
        <v>128.1</v>
      </c>
      <c r="I14" s="94"/>
      <c r="J14" s="95"/>
      <c r="K14" s="19">
        <f>J14</f>
        <v>0</v>
      </c>
      <c r="L14" s="19"/>
      <c r="M14" s="19">
        <f>H14*J14</f>
        <v>0</v>
      </c>
      <c r="N14" s="20">
        <f>M14</f>
        <v>0</v>
      </c>
      <c r="O14" s="55"/>
      <c r="P14" s="98" t="s">
        <v>46</v>
      </c>
    </row>
    <row r="15" spans="1:16" s="64" customFormat="1" ht="76.5" x14ac:dyDescent="0.25">
      <c r="A15" s="57">
        <v>5</v>
      </c>
      <c r="B15" s="58" t="s">
        <v>44</v>
      </c>
      <c r="C15" s="59"/>
      <c r="D15" s="65" t="s">
        <v>95</v>
      </c>
      <c r="E15" s="61" t="s">
        <v>17</v>
      </c>
      <c r="F15" s="61" t="s">
        <v>71</v>
      </c>
      <c r="G15" s="62">
        <v>1</v>
      </c>
      <c r="H15" s="103">
        <f>ROUND((0.0017+0.03925*0.015*1)*3.62,3)</f>
        <v>8.0000000000000002E-3</v>
      </c>
      <c r="I15" s="9"/>
      <c r="J15" s="96"/>
      <c r="K15" s="6">
        <f>I15</f>
        <v>0</v>
      </c>
      <c r="L15" s="6">
        <f t="shared" ref="L15:L25" si="0">H15*I15</f>
        <v>0</v>
      </c>
      <c r="M15" s="6"/>
      <c r="N15" s="7">
        <f>L15</f>
        <v>0</v>
      </c>
      <c r="O15" s="63"/>
      <c r="P15" s="99"/>
    </row>
    <row r="16" spans="1:16" s="64" customFormat="1" ht="76.5" x14ac:dyDescent="0.25">
      <c r="A16" s="57">
        <v>6</v>
      </c>
      <c r="B16" s="58" t="s">
        <v>44</v>
      </c>
      <c r="C16" s="59"/>
      <c r="D16" s="65" t="s">
        <v>96</v>
      </c>
      <c r="E16" s="61" t="s">
        <v>17</v>
      </c>
      <c r="F16" s="61" t="s">
        <v>71</v>
      </c>
      <c r="G16" s="62">
        <v>1</v>
      </c>
      <c r="H16" s="103">
        <f>ROUND((0.0017+0.03925*0.015*1)*3.62,3)</f>
        <v>8.0000000000000002E-3</v>
      </c>
      <c r="I16" s="9"/>
      <c r="J16" s="96"/>
      <c r="K16" s="6">
        <f>I16</f>
        <v>0</v>
      </c>
      <c r="L16" s="6">
        <f t="shared" si="0"/>
        <v>0</v>
      </c>
      <c r="M16" s="6"/>
      <c r="N16" s="7">
        <f>L16</f>
        <v>0</v>
      </c>
      <c r="O16" s="63"/>
      <c r="P16" s="99"/>
    </row>
    <row r="17" spans="1:16" s="64" customFormat="1" ht="76.5" x14ac:dyDescent="0.25">
      <c r="A17" s="57">
        <v>7</v>
      </c>
      <c r="B17" s="58" t="s">
        <v>44</v>
      </c>
      <c r="C17" s="59"/>
      <c r="D17" s="65" t="s">
        <v>97</v>
      </c>
      <c r="E17" s="61" t="s">
        <v>17</v>
      </c>
      <c r="F17" s="61" t="s">
        <v>71</v>
      </c>
      <c r="G17" s="62">
        <v>1</v>
      </c>
      <c r="H17" s="103">
        <f>ROUND((0.0017+0.03925*0.015*1)*0.29,3)</f>
        <v>1E-3</v>
      </c>
      <c r="I17" s="9"/>
      <c r="J17" s="96"/>
      <c r="K17" s="6">
        <f t="shared" ref="K17:K25" si="1">I17</f>
        <v>0</v>
      </c>
      <c r="L17" s="6">
        <f t="shared" si="0"/>
        <v>0</v>
      </c>
      <c r="M17" s="6"/>
      <c r="N17" s="7">
        <f t="shared" ref="N17:N25" si="2">L17</f>
        <v>0</v>
      </c>
      <c r="O17" s="63"/>
      <c r="P17" s="99"/>
    </row>
    <row r="18" spans="1:16" s="64" customFormat="1" ht="102" x14ac:dyDescent="0.25">
      <c r="A18" s="57">
        <v>8</v>
      </c>
      <c r="B18" s="58" t="s">
        <v>44</v>
      </c>
      <c r="C18" s="59"/>
      <c r="D18" s="65" t="s">
        <v>98</v>
      </c>
      <c r="E18" s="61" t="s">
        <v>17</v>
      </c>
      <c r="F18" s="61" t="s">
        <v>71</v>
      </c>
      <c r="G18" s="62">
        <v>1</v>
      </c>
      <c r="H18" s="103">
        <f>ROUND((0.0017+0.0017+1.35*4*0.00139+1.35*6*0.001075+0.03925*0.015*4)*4.08,3)</f>
        <v>0.09</v>
      </c>
      <c r="I18" s="9"/>
      <c r="J18" s="96"/>
      <c r="K18" s="6">
        <f t="shared" si="1"/>
        <v>0</v>
      </c>
      <c r="L18" s="6">
        <f t="shared" si="0"/>
        <v>0</v>
      </c>
      <c r="M18" s="6"/>
      <c r="N18" s="7">
        <f t="shared" si="2"/>
        <v>0</v>
      </c>
      <c r="O18" s="63"/>
      <c r="P18" s="99"/>
    </row>
    <row r="19" spans="1:16" s="64" customFormat="1" ht="102" x14ac:dyDescent="0.25">
      <c r="A19" s="57">
        <v>9</v>
      </c>
      <c r="B19" s="58" t="s">
        <v>44</v>
      </c>
      <c r="C19" s="59"/>
      <c r="D19" s="65" t="s">
        <v>99</v>
      </c>
      <c r="E19" s="61" t="s">
        <v>17</v>
      </c>
      <c r="F19" s="61" t="s">
        <v>71</v>
      </c>
      <c r="G19" s="62">
        <v>1</v>
      </c>
      <c r="H19" s="103">
        <f>ROUND((0.0017+0.0017+1.35*4*0.00139+1.35*6*0.001075+0.03925*0.015*4)*4.27,3)</f>
        <v>9.4E-2</v>
      </c>
      <c r="I19" s="9"/>
      <c r="J19" s="96"/>
      <c r="K19" s="6">
        <f t="shared" si="1"/>
        <v>0</v>
      </c>
      <c r="L19" s="6">
        <f t="shared" si="0"/>
        <v>0</v>
      </c>
      <c r="M19" s="6"/>
      <c r="N19" s="7">
        <f t="shared" si="2"/>
        <v>0</v>
      </c>
      <c r="O19" s="63"/>
      <c r="P19" s="99"/>
    </row>
    <row r="20" spans="1:16" s="64" customFormat="1" ht="102" x14ac:dyDescent="0.25">
      <c r="A20" s="57">
        <v>10</v>
      </c>
      <c r="B20" s="58" t="s">
        <v>44</v>
      </c>
      <c r="C20" s="59"/>
      <c r="D20" s="65" t="s">
        <v>106</v>
      </c>
      <c r="E20" s="61" t="s">
        <v>17</v>
      </c>
      <c r="F20" s="61" t="s">
        <v>71</v>
      </c>
      <c r="G20" s="62">
        <v>1</v>
      </c>
      <c r="H20" s="103">
        <f>ROUND((0.0017+0.0017+1.35*4*0.00139+1.35*6*0.001075+0.03925*0.015*4)*47.46,3)</f>
        <v>1.0429999999999999</v>
      </c>
      <c r="I20" s="9"/>
      <c r="J20" s="96"/>
      <c r="K20" s="6">
        <f t="shared" si="1"/>
        <v>0</v>
      </c>
      <c r="L20" s="6">
        <f t="shared" si="0"/>
        <v>0</v>
      </c>
      <c r="M20" s="6"/>
      <c r="N20" s="7">
        <f t="shared" si="2"/>
        <v>0</v>
      </c>
      <c r="O20" s="63"/>
      <c r="P20" s="99"/>
    </row>
    <row r="21" spans="1:16" s="64" customFormat="1" ht="102" x14ac:dyDescent="0.25">
      <c r="A21" s="57">
        <v>11</v>
      </c>
      <c r="B21" s="58" t="s">
        <v>44</v>
      </c>
      <c r="C21" s="59"/>
      <c r="D21" s="65" t="s">
        <v>107</v>
      </c>
      <c r="E21" s="61" t="s">
        <v>17</v>
      </c>
      <c r="F21" s="61" t="s">
        <v>71</v>
      </c>
      <c r="G21" s="62">
        <v>1</v>
      </c>
      <c r="H21" s="103">
        <f>ROUND((0.0017+0.0017+1.35*4*0.00139+1.35*6*0.001075+0.03925*0.015*4)*47.46,3)</f>
        <v>1.0429999999999999</v>
      </c>
      <c r="I21" s="9"/>
      <c r="J21" s="96"/>
      <c r="K21" s="6">
        <f t="shared" si="1"/>
        <v>0</v>
      </c>
      <c r="L21" s="6">
        <f t="shared" si="0"/>
        <v>0</v>
      </c>
      <c r="M21" s="6"/>
      <c r="N21" s="7">
        <f t="shared" si="2"/>
        <v>0</v>
      </c>
      <c r="O21" s="63"/>
      <c r="P21" s="99"/>
    </row>
    <row r="22" spans="1:16" s="64" customFormat="1" ht="102" x14ac:dyDescent="0.25">
      <c r="A22" s="57">
        <v>12</v>
      </c>
      <c r="B22" s="58" t="s">
        <v>44</v>
      </c>
      <c r="C22" s="59"/>
      <c r="D22" s="65" t="s">
        <v>102</v>
      </c>
      <c r="E22" s="61" t="s">
        <v>17</v>
      </c>
      <c r="F22" s="61" t="s">
        <v>71</v>
      </c>
      <c r="G22" s="62">
        <v>1</v>
      </c>
      <c r="H22" s="103">
        <f>ROUND((0.0017+0.0017+1.35*4*0.00139+1.35*6*0.001075+0.03925*0.015*4)*3.97,3)</f>
        <v>8.6999999999999994E-2</v>
      </c>
      <c r="I22" s="9"/>
      <c r="J22" s="96"/>
      <c r="K22" s="6">
        <f t="shared" si="1"/>
        <v>0</v>
      </c>
      <c r="L22" s="6">
        <f t="shared" si="0"/>
        <v>0</v>
      </c>
      <c r="M22" s="6"/>
      <c r="N22" s="7">
        <f t="shared" si="2"/>
        <v>0</v>
      </c>
      <c r="O22" s="63"/>
      <c r="P22" s="99"/>
    </row>
    <row r="23" spans="1:16" s="64" customFormat="1" ht="102" x14ac:dyDescent="0.25">
      <c r="A23" s="57">
        <v>13</v>
      </c>
      <c r="B23" s="58" t="s">
        <v>44</v>
      </c>
      <c r="C23" s="59"/>
      <c r="D23" s="65" t="s">
        <v>103</v>
      </c>
      <c r="E23" s="61" t="s">
        <v>17</v>
      </c>
      <c r="F23" s="61" t="s">
        <v>71</v>
      </c>
      <c r="G23" s="62">
        <v>1</v>
      </c>
      <c r="H23" s="103">
        <f>ROUND((0.0017+0.0017+1.35*4*0.00139+1.35*6*0.001075+0.03925*0.015*4)*1.35,3)</f>
        <v>0.03</v>
      </c>
      <c r="I23" s="9"/>
      <c r="J23" s="96"/>
      <c r="K23" s="6">
        <f t="shared" si="1"/>
        <v>0</v>
      </c>
      <c r="L23" s="6">
        <f t="shared" si="0"/>
        <v>0</v>
      </c>
      <c r="M23" s="6"/>
      <c r="N23" s="7">
        <f t="shared" si="2"/>
        <v>0</v>
      </c>
      <c r="O23" s="63"/>
      <c r="P23" s="99"/>
    </row>
    <row r="24" spans="1:16" s="64" customFormat="1" ht="102" x14ac:dyDescent="0.25">
      <c r="A24" s="57">
        <v>14</v>
      </c>
      <c r="B24" s="58" t="s">
        <v>44</v>
      </c>
      <c r="C24" s="59"/>
      <c r="D24" s="65" t="s">
        <v>108</v>
      </c>
      <c r="E24" s="61" t="s">
        <v>17</v>
      </c>
      <c r="F24" s="61" t="s">
        <v>71</v>
      </c>
      <c r="G24" s="62">
        <v>1</v>
      </c>
      <c r="H24" s="103">
        <f>ROUND((0.0017+1.35*2*0.001075)*8.37,3)</f>
        <v>3.9E-2</v>
      </c>
      <c r="I24" s="9"/>
      <c r="J24" s="96"/>
      <c r="K24" s="6">
        <f t="shared" si="1"/>
        <v>0</v>
      </c>
      <c r="L24" s="6">
        <f t="shared" si="0"/>
        <v>0</v>
      </c>
      <c r="M24" s="6"/>
      <c r="N24" s="7">
        <f t="shared" si="2"/>
        <v>0</v>
      </c>
      <c r="O24" s="63"/>
      <c r="P24" s="99"/>
    </row>
    <row r="25" spans="1:16" s="64" customFormat="1" ht="102" x14ac:dyDescent="0.25">
      <c r="A25" s="57">
        <v>15</v>
      </c>
      <c r="B25" s="58" t="s">
        <v>44</v>
      </c>
      <c r="C25" s="59"/>
      <c r="D25" s="65" t="s">
        <v>105</v>
      </c>
      <c r="E25" s="61" t="s">
        <v>17</v>
      </c>
      <c r="F25" s="61" t="s">
        <v>71</v>
      </c>
      <c r="G25" s="62">
        <v>1</v>
      </c>
      <c r="H25" s="103">
        <f>ROUND((0.0017+0.0017+1.35*4*0.00139+1.35*6*0.001075+0.03925*0.015*4)*3.61,3)</f>
        <v>7.9000000000000001E-2</v>
      </c>
      <c r="I25" s="9"/>
      <c r="J25" s="96"/>
      <c r="K25" s="6">
        <f t="shared" si="1"/>
        <v>0</v>
      </c>
      <c r="L25" s="6">
        <f t="shared" si="0"/>
        <v>0</v>
      </c>
      <c r="M25" s="6"/>
      <c r="N25" s="7">
        <f t="shared" si="2"/>
        <v>0</v>
      </c>
      <c r="O25" s="63"/>
      <c r="P25" s="99"/>
    </row>
    <row r="26" spans="1:16" s="56" customFormat="1" ht="38.25" x14ac:dyDescent="0.25">
      <c r="A26" s="49">
        <v>16</v>
      </c>
      <c r="B26" s="50" t="s">
        <v>43</v>
      </c>
      <c r="C26" s="51" t="s">
        <v>63</v>
      </c>
      <c r="D26" s="52" t="s">
        <v>62</v>
      </c>
      <c r="E26" s="53" t="s">
        <v>16</v>
      </c>
      <c r="F26" s="53" t="s">
        <v>70</v>
      </c>
      <c r="G26" s="54">
        <v>1</v>
      </c>
      <c r="H26" s="18">
        <f>SUM(H27:H29)</f>
        <v>12.409999999999998</v>
      </c>
      <c r="I26" s="94"/>
      <c r="J26" s="95"/>
      <c r="K26" s="19">
        <f>J26</f>
        <v>0</v>
      </c>
      <c r="L26" s="19"/>
      <c r="M26" s="19">
        <f>H26*J26</f>
        <v>0</v>
      </c>
      <c r="N26" s="20">
        <f>M26</f>
        <v>0</v>
      </c>
      <c r="O26" s="55"/>
      <c r="P26" s="98" t="s">
        <v>47</v>
      </c>
    </row>
    <row r="27" spans="1:16" s="64" customFormat="1" ht="38.25" x14ac:dyDescent="0.25">
      <c r="A27" s="57">
        <v>17</v>
      </c>
      <c r="B27" s="58" t="s">
        <v>44</v>
      </c>
      <c r="C27" s="59"/>
      <c r="D27" s="60" t="s">
        <v>82</v>
      </c>
      <c r="E27" s="61" t="s">
        <v>17</v>
      </c>
      <c r="F27" s="61" t="s">
        <v>70</v>
      </c>
      <c r="G27" s="62">
        <v>1</v>
      </c>
      <c r="H27" s="8">
        <f>ROUND(1*(3.62+1.06),2)</f>
        <v>4.68</v>
      </c>
      <c r="I27" s="9"/>
      <c r="J27" s="10"/>
      <c r="K27" s="6">
        <f t="shared" ref="K27:K29" si="3">I27</f>
        <v>0</v>
      </c>
      <c r="L27" s="6">
        <f>H27*I27</f>
        <v>0</v>
      </c>
      <c r="M27" s="6"/>
      <c r="N27" s="7">
        <f t="shared" ref="N27:N29" si="4">L27</f>
        <v>0</v>
      </c>
      <c r="O27" s="63"/>
      <c r="P27" s="99"/>
    </row>
    <row r="28" spans="1:16" s="64" customFormat="1" ht="38.25" x14ac:dyDescent="0.25">
      <c r="A28" s="57">
        <v>18</v>
      </c>
      <c r="B28" s="58" t="s">
        <v>44</v>
      </c>
      <c r="C28" s="59"/>
      <c r="D28" s="60" t="s">
        <v>109</v>
      </c>
      <c r="E28" s="61" t="s">
        <v>17</v>
      </c>
      <c r="F28" s="61" t="s">
        <v>70</v>
      </c>
      <c r="G28" s="62">
        <v>1</v>
      </c>
      <c r="H28" s="8">
        <f>ROUND(1*(3.025+0.92),2)</f>
        <v>3.95</v>
      </c>
      <c r="I28" s="9"/>
      <c r="J28" s="10"/>
      <c r="K28" s="6">
        <f t="shared" si="3"/>
        <v>0</v>
      </c>
      <c r="L28" s="6">
        <f t="shared" ref="L28:L29" si="5">H28*I28</f>
        <v>0</v>
      </c>
      <c r="M28" s="6"/>
      <c r="N28" s="7">
        <f t="shared" si="4"/>
        <v>0</v>
      </c>
      <c r="O28" s="63"/>
      <c r="P28" s="99"/>
    </row>
    <row r="29" spans="1:16" s="64" customFormat="1" ht="38.25" x14ac:dyDescent="0.25">
      <c r="A29" s="57">
        <v>19</v>
      </c>
      <c r="B29" s="58" t="s">
        <v>44</v>
      </c>
      <c r="C29" s="59"/>
      <c r="D29" s="60" t="s">
        <v>93</v>
      </c>
      <c r="E29" s="61" t="s">
        <v>17</v>
      </c>
      <c r="F29" s="61" t="s">
        <v>70</v>
      </c>
      <c r="G29" s="62">
        <v>1</v>
      </c>
      <c r="H29" s="8">
        <f>ROUND(1*(2.72+1.06),2)</f>
        <v>3.78</v>
      </c>
      <c r="I29" s="9"/>
      <c r="J29" s="10"/>
      <c r="K29" s="6">
        <f t="shared" si="3"/>
        <v>0</v>
      </c>
      <c r="L29" s="6">
        <f t="shared" si="5"/>
        <v>0</v>
      </c>
      <c r="M29" s="6"/>
      <c r="N29" s="7">
        <f t="shared" si="4"/>
        <v>0</v>
      </c>
      <c r="O29" s="63"/>
      <c r="P29" s="99"/>
    </row>
    <row r="30" spans="1:16" s="56" customFormat="1" ht="51" x14ac:dyDescent="0.25">
      <c r="A30" s="41">
        <v>20</v>
      </c>
      <c r="B30" s="42" t="s">
        <v>43</v>
      </c>
      <c r="C30" s="43" t="s">
        <v>61</v>
      </c>
      <c r="D30" s="44" t="s">
        <v>49</v>
      </c>
      <c r="E30" s="45" t="s">
        <v>16</v>
      </c>
      <c r="F30" s="45" t="s">
        <v>18</v>
      </c>
      <c r="G30" s="46">
        <v>1</v>
      </c>
      <c r="H30" s="11">
        <f>H31</f>
        <v>2</v>
      </c>
      <c r="I30" s="92"/>
      <c r="J30" s="93"/>
      <c r="K30" s="17">
        <f>J30</f>
        <v>0</v>
      </c>
      <c r="L30" s="12"/>
      <c r="M30" s="12">
        <f>H30*J30</f>
        <v>0</v>
      </c>
      <c r="N30" s="13">
        <f>M30</f>
        <v>0</v>
      </c>
      <c r="O30" s="55"/>
      <c r="P30" s="98" t="s">
        <v>49</v>
      </c>
    </row>
    <row r="31" spans="1:16" s="64" customFormat="1" ht="25.5" x14ac:dyDescent="0.25">
      <c r="A31" s="57">
        <v>21</v>
      </c>
      <c r="B31" s="58" t="s">
        <v>44</v>
      </c>
      <c r="C31" s="59"/>
      <c r="D31" s="60" t="s">
        <v>64</v>
      </c>
      <c r="E31" s="61" t="s">
        <v>17</v>
      </c>
      <c r="F31" s="61" t="s">
        <v>18</v>
      </c>
      <c r="G31" s="62">
        <v>1</v>
      </c>
      <c r="H31" s="8">
        <v>2</v>
      </c>
      <c r="I31" s="9"/>
      <c r="J31" s="10"/>
      <c r="K31" s="6">
        <f>I31</f>
        <v>0</v>
      </c>
      <c r="L31" s="6">
        <f>H31*I31</f>
        <v>0</v>
      </c>
      <c r="M31" s="6"/>
      <c r="N31" s="7">
        <f>L31</f>
        <v>0</v>
      </c>
      <c r="O31" s="63"/>
      <c r="P31" s="99"/>
    </row>
    <row r="32" spans="1:16" s="56" customFormat="1" ht="63.75" x14ac:dyDescent="0.25">
      <c r="A32" s="41">
        <v>22</v>
      </c>
      <c r="B32" s="42" t="s">
        <v>43</v>
      </c>
      <c r="C32" s="43" t="s">
        <v>61</v>
      </c>
      <c r="D32" s="44" t="s">
        <v>52</v>
      </c>
      <c r="E32" s="45" t="s">
        <v>16</v>
      </c>
      <c r="F32" s="45" t="s">
        <v>51</v>
      </c>
      <c r="G32" s="46">
        <v>1</v>
      </c>
      <c r="H32" s="11">
        <f>H33</f>
        <v>267</v>
      </c>
      <c r="I32" s="92"/>
      <c r="J32" s="93"/>
      <c r="K32" s="17">
        <f>J32</f>
        <v>0</v>
      </c>
      <c r="L32" s="12"/>
      <c r="M32" s="12">
        <f>H32*J32</f>
        <v>0</v>
      </c>
      <c r="N32" s="13">
        <f>M32</f>
        <v>0</v>
      </c>
      <c r="O32" s="55"/>
      <c r="P32" s="98" t="s">
        <v>52</v>
      </c>
    </row>
    <row r="33" spans="1:16" s="64" customFormat="1" ht="25.5" x14ac:dyDescent="0.25">
      <c r="A33" s="57">
        <v>23</v>
      </c>
      <c r="B33" s="58" t="s">
        <v>44</v>
      </c>
      <c r="C33" s="59"/>
      <c r="D33" s="60" t="s">
        <v>53</v>
      </c>
      <c r="E33" s="61" t="s">
        <v>17</v>
      </c>
      <c r="F33" s="61" t="s">
        <v>51</v>
      </c>
      <c r="G33" s="62">
        <v>1</v>
      </c>
      <c r="H33" s="8">
        <v>267</v>
      </c>
      <c r="I33" s="9"/>
      <c r="J33" s="10"/>
      <c r="K33" s="6">
        <f>I33</f>
        <v>0</v>
      </c>
      <c r="L33" s="6">
        <f t="shared" ref="L33:L37" si="6">H33*I33</f>
        <v>0</v>
      </c>
      <c r="M33" s="6"/>
      <c r="N33" s="7">
        <f>L33</f>
        <v>0</v>
      </c>
      <c r="O33" s="63"/>
      <c r="P33" s="99"/>
    </row>
    <row r="34" spans="1:16" s="64" customFormat="1" ht="25.5" x14ac:dyDescent="0.25">
      <c r="A34" s="57">
        <v>24</v>
      </c>
      <c r="B34" s="58" t="s">
        <v>44</v>
      </c>
      <c r="C34" s="59"/>
      <c r="D34" s="60" t="s">
        <v>54</v>
      </c>
      <c r="E34" s="61" t="s">
        <v>17</v>
      </c>
      <c r="F34" s="61" t="s">
        <v>71</v>
      </c>
      <c r="G34" s="62">
        <v>1.04</v>
      </c>
      <c r="H34" s="101">
        <f>ROUND((ROUNDUP(286/0.6,0)*0.1*8.59/1000)*G34,3)</f>
        <v>0.42599999999999999</v>
      </c>
      <c r="I34" s="9"/>
      <c r="J34" s="10"/>
      <c r="K34" s="6">
        <f t="shared" ref="K34:K37" si="7">I34</f>
        <v>0</v>
      </c>
      <c r="L34" s="6">
        <f t="shared" si="6"/>
        <v>0</v>
      </c>
      <c r="M34" s="6"/>
      <c r="N34" s="7">
        <f t="shared" ref="N34:N37" si="8">L34</f>
        <v>0</v>
      </c>
      <c r="O34" s="63"/>
      <c r="P34" s="99"/>
    </row>
    <row r="35" spans="1:16" s="64" customFormat="1" ht="25.5" x14ac:dyDescent="0.25">
      <c r="A35" s="57">
        <v>25</v>
      </c>
      <c r="B35" s="58" t="s">
        <v>44</v>
      </c>
      <c r="C35" s="59"/>
      <c r="D35" s="60" t="s">
        <v>55</v>
      </c>
      <c r="E35" s="61" t="s">
        <v>17</v>
      </c>
      <c r="F35" s="61" t="s">
        <v>71</v>
      </c>
      <c r="G35" s="62">
        <v>1.04</v>
      </c>
      <c r="H35" s="101">
        <f>ROUND((ROUNDUP(159/0.6,0)*0.08*0.222/1000)*G35+(ROUNDUP(127/0.6,0)*0.16*0.222/1000)*G35,3)</f>
        <v>1.2999999999999999E-2</v>
      </c>
      <c r="I35" s="9"/>
      <c r="J35" s="10"/>
      <c r="K35" s="6">
        <f t="shared" si="7"/>
        <v>0</v>
      </c>
      <c r="L35" s="6">
        <f t="shared" si="6"/>
        <v>0</v>
      </c>
      <c r="M35" s="6"/>
      <c r="N35" s="7">
        <f t="shared" si="8"/>
        <v>0</v>
      </c>
      <c r="O35" s="63"/>
      <c r="P35" s="99"/>
    </row>
    <row r="36" spans="1:16" s="64" customFormat="1" ht="25.5" x14ac:dyDescent="0.25">
      <c r="A36" s="57">
        <v>26</v>
      </c>
      <c r="B36" s="58" t="s">
        <v>44</v>
      </c>
      <c r="C36" s="59"/>
      <c r="D36" s="60" t="s">
        <v>56</v>
      </c>
      <c r="E36" s="61" t="s">
        <v>17</v>
      </c>
      <c r="F36" s="61" t="s">
        <v>71</v>
      </c>
      <c r="G36" s="62">
        <v>1.04</v>
      </c>
      <c r="H36" s="101">
        <f>ROUND((75*0.222/1000)*G36,3)</f>
        <v>1.7000000000000001E-2</v>
      </c>
      <c r="I36" s="9"/>
      <c r="J36" s="10"/>
      <c r="K36" s="6">
        <f t="shared" si="7"/>
        <v>0</v>
      </c>
      <c r="L36" s="6">
        <f t="shared" si="6"/>
        <v>0</v>
      </c>
      <c r="M36" s="6"/>
      <c r="N36" s="7">
        <f t="shared" si="8"/>
        <v>0</v>
      </c>
      <c r="O36" s="63"/>
      <c r="P36" s="99"/>
    </row>
    <row r="37" spans="1:16" s="64" customFormat="1" ht="26.25" thickBot="1" x14ac:dyDescent="0.3">
      <c r="A37" s="57">
        <v>27</v>
      </c>
      <c r="B37" s="58" t="s">
        <v>44</v>
      </c>
      <c r="C37" s="59"/>
      <c r="D37" s="60" t="s">
        <v>57</v>
      </c>
      <c r="E37" s="61" t="s">
        <v>17</v>
      </c>
      <c r="F37" s="61" t="s">
        <v>18</v>
      </c>
      <c r="G37" s="62">
        <v>1</v>
      </c>
      <c r="H37" s="8">
        <f>ROUNDUP(150/0.6,0)</f>
        <v>250</v>
      </c>
      <c r="I37" s="9"/>
      <c r="J37" s="10"/>
      <c r="K37" s="6">
        <f t="shared" si="7"/>
        <v>0</v>
      </c>
      <c r="L37" s="6">
        <f t="shared" si="6"/>
        <v>0</v>
      </c>
      <c r="M37" s="6"/>
      <c r="N37" s="7">
        <f t="shared" si="8"/>
        <v>0</v>
      </c>
      <c r="O37" s="63"/>
      <c r="P37" s="100"/>
    </row>
    <row r="38" spans="1:16" x14ac:dyDescent="0.25">
      <c r="A38" s="25"/>
      <c r="B38" s="16"/>
      <c r="C38" s="1"/>
      <c r="D38" s="2" t="s">
        <v>19</v>
      </c>
      <c r="E38" s="1"/>
      <c r="F38" s="1"/>
      <c r="G38" s="1"/>
      <c r="H38" s="15"/>
      <c r="I38" s="14"/>
      <c r="J38" s="3"/>
      <c r="K38" s="3"/>
      <c r="L38" s="4">
        <f>SUM(L11:L37)</f>
        <v>0</v>
      </c>
      <c r="M38" s="4">
        <f>SUM(M11:M37)</f>
        <v>0</v>
      </c>
      <c r="N38" s="5">
        <f>SUM(N11:N37)</f>
        <v>0</v>
      </c>
      <c r="O38" s="30"/>
      <c r="P38" s="33"/>
    </row>
    <row r="39" spans="1:16" x14ac:dyDescent="0.25">
      <c r="A39" s="131"/>
      <c r="B39" s="132"/>
      <c r="C39" s="69"/>
      <c r="D39" s="2" t="s">
        <v>35</v>
      </c>
      <c r="E39" s="1"/>
      <c r="F39" s="1"/>
      <c r="G39" s="1"/>
      <c r="H39" s="70"/>
      <c r="I39" s="71"/>
      <c r="J39" s="72"/>
      <c r="K39" s="72"/>
      <c r="L39" s="4"/>
      <c r="M39" s="4"/>
      <c r="N39" s="5">
        <f>N38/1.22*0.22</f>
        <v>0</v>
      </c>
      <c r="O39" s="30"/>
      <c r="P39" s="33"/>
    </row>
    <row r="40" spans="1:16" x14ac:dyDescent="0.25">
      <c r="A40" s="73" t="s">
        <v>20</v>
      </c>
      <c r="B40" s="74"/>
      <c r="C40" s="74"/>
      <c r="D40" s="74"/>
      <c r="E40" s="74"/>
      <c r="F40" s="74"/>
      <c r="G40" s="74"/>
      <c r="H40" s="75"/>
      <c r="I40" s="76"/>
      <c r="J40" s="76"/>
      <c r="K40" s="77"/>
      <c r="L40" s="77"/>
      <c r="M40" s="77"/>
      <c r="N40" s="78"/>
      <c r="O40" s="30"/>
      <c r="P40" s="33"/>
    </row>
    <row r="41" spans="1:16" x14ac:dyDescent="0.25">
      <c r="A41" s="137">
        <v>1</v>
      </c>
      <c r="B41" s="138"/>
      <c r="C41" s="79"/>
      <c r="D41" s="80" t="s">
        <v>21</v>
      </c>
      <c r="E41" s="108"/>
      <c r="F41" s="109"/>
      <c r="G41" s="109"/>
      <c r="H41" s="110"/>
      <c r="I41" s="111"/>
      <c r="J41" s="112"/>
      <c r="K41" s="113"/>
      <c r="L41" s="113"/>
      <c r="M41" s="113"/>
      <c r="N41" s="114"/>
      <c r="O41" s="30"/>
      <c r="P41" s="30"/>
    </row>
    <row r="42" spans="1:16" ht="30" customHeight="1" x14ac:dyDescent="0.25">
      <c r="A42" s="135">
        <v>2</v>
      </c>
      <c r="B42" s="136"/>
      <c r="C42" s="104"/>
      <c r="D42" s="81" t="s">
        <v>22</v>
      </c>
      <c r="E42" s="115"/>
      <c r="F42" s="116"/>
      <c r="G42" s="116"/>
      <c r="H42" s="117"/>
      <c r="I42" s="111"/>
      <c r="J42" s="112"/>
      <c r="K42" s="113"/>
      <c r="L42" s="113"/>
      <c r="M42" s="113"/>
      <c r="N42" s="114"/>
      <c r="O42" s="30"/>
      <c r="P42" s="33"/>
    </row>
    <row r="43" spans="1:16" x14ac:dyDescent="0.25">
      <c r="A43" s="135">
        <v>3</v>
      </c>
      <c r="B43" s="136"/>
      <c r="C43" s="79"/>
      <c r="D43" s="81" t="s">
        <v>23</v>
      </c>
      <c r="E43" s="115"/>
      <c r="F43" s="116"/>
      <c r="G43" s="116"/>
      <c r="H43" s="117"/>
      <c r="I43" s="111"/>
      <c r="J43" s="112"/>
      <c r="K43" s="113"/>
      <c r="L43" s="113"/>
      <c r="M43" s="113"/>
      <c r="N43" s="114"/>
      <c r="O43" s="30"/>
      <c r="P43" s="33"/>
    </row>
    <row r="44" spans="1:16" ht="25.5" x14ac:dyDescent="0.25">
      <c r="A44" s="135">
        <v>4</v>
      </c>
      <c r="B44" s="136"/>
      <c r="C44" s="104"/>
      <c r="D44" s="81" t="s">
        <v>24</v>
      </c>
      <c r="E44" s="115"/>
      <c r="F44" s="116"/>
      <c r="G44" s="116"/>
      <c r="H44" s="117"/>
      <c r="I44" s="111"/>
      <c r="J44" s="112"/>
      <c r="K44" s="113"/>
      <c r="L44" s="113"/>
      <c r="M44" s="113"/>
      <c r="N44" s="114"/>
      <c r="O44" s="30"/>
      <c r="P44" s="33"/>
    </row>
    <row r="45" spans="1:16" ht="25.5" x14ac:dyDescent="0.25">
      <c r="A45" s="135">
        <v>5</v>
      </c>
      <c r="B45" s="136"/>
      <c r="C45" s="79"/>
      <c r="D45" s="81" t="s">
        <v>25</v>
      </c>
      <c r="E45" s="115"/>
      <c r="F45" s="116"/>
      <c r="G45" s="116"/>
      <c r="H45" s="117"/>
      <c r="I45" s="111"/>
      <c r="J45" s="112"/>
      <c r="K45" s="113"/>
      <c r="L45" s="113"/>
      <c r="M45" s="113"/>
      <c r="N45" s="114"/>
      <c r="O45" s="30"/>
      <c r="P45" s="30"/>
    </row>
    <row r="46" spans="1:16" x14ac:dyDescent="0.25">
      <c r="A46" s="135">
        <v>6</v>
      </c>
      <c r="B46" s="136"/>
      <c r="C46" s="104"/>
      <c r="D46" s="81" t="s">
        <v>26</v>
      </c>
      <c r="E46" s="115"/>
      <c r="F46" s="116"/>
      <c r="G46" s="116"/>
      <c r="H46" s="117"/>
      <c r="I46" s="111"/>
      <c r="J46" s="112"/>
      <c r="K46" s="113"/>
      <c r="L46" s="113"/>
      <c r="M46" s="113"/>
      <c r="N46" s="114"/>
      <c r="O46" s="30"/>
      <c r="P46" s="33"/>
    </row>
    <row r="47" spans="1:16" x14ac:dyDescent="0.25">
      <c r="A47" s="135">
        <v>7</v>
      </c>
      <c r="B47" s="136"/>
      <c r="C47" s="79"/>
      <c r="D47" s="81" t="s">
        <v>27</v>
      </c>
      <c r="E47" s="115"/>
      <c r="F47" s="116"/>
      <c r="G47" s="116"/>
      <c r="H47" s="117"/>
      <c r="I47" s="111"/>
      <c r="J47" s="112"/>
      <c r="K47" s="113"/>
      <c r="L47" s="113"/>
      <c r="M47" s="113"/>
      <c r="N47" s="114"/>
      <c r="O47" s="30"/>
      <c r="P47" s="33"/>
    </row>
    <row r="48" spans="1:16" x14ac:dyDescent="0.25">
      <c r="A48" s="135">
        <v>8</v>
      </c>
      <c r="B48" s="136"/>
      <c r="C48" s="104"/>
      <c r="D48" s="81" t="s">
        <v>28</v>
      </c>
      <c r="E48" s="115"/>
      <c r="F48" s="116"/>
      <c r="G48" s="116"/>
      <c r="H48" s="117"/>
      <c r="I48" s="111"/>
      <c r="J48" s="112"/>
      <c r="K48" s="113"/>
      <c r="L48" s="113"/>
      <c r="M48" s="113"/>
      <c r="N48" s="114"/>
      <c r="O48" s="30"/>
      <c r="P48" s="33"/>
    </row>
    <row r="49" spans="1:16" x14ac:dyDescent="0.25">
      <c r="A49" s="135">
        <v>9</v>
      </c>
      <c r="B49" s="136"/>
      <c r="C49" s="79"/>
      <c r="D49" s="81" t="s">
        <v>29</v>
      </c>
      <c r="E49" s="115"/>
      <c r="F49" s="116"/>
      <c r="G49" s="116"/>
      <c r="H49" s="117"/>
      <c r="I49" s="111"/>
      <c r="J49" s="112"/>
      <c r="K49" s="113"/>
      <c r="L49" s="113"/>
      <c r="M49" s="113"/>
      <c r="N49" s="114"/>
      <c r="O49" s="30"/>
      <c r="P49" s="30"/>
    </row>
    <row r="50" spans="1:16" ht="25.5" x14ac:dyDescent="0.25">
      <c r="A50" s="135">
        <v>10</v>
      </c>
      <c r="B50" s="136"/>
      <c r="C50" s="104"/>
      <c r="D50" s="82" t="s">
        <v>30</v>
      </c>
      <c r="E50" s="118"/>
      <c r="F50" s="116"/>
      <c r="G50" s="116"/>
      <c r="H50" s="117"/>
      <c r="I50" s="111"/>
      <c r="J50" s="112"/>
      <c r="K50" s="113"/>
      <c r="L50" s="113"/>
      <c r="M50" s="113"/>
      <c r="N50" s="114"/>
      <c r="O50" s="30"/>
      <c r="P50" s="33"/>
    </row>
    <row r="51" spans="1:16" ht="15.75" thickBot="1" x14ac:dyDescent="0.3">
      <c r="A51" s="133">
        <v>11</v>
      </c>
      <c r="B51" s="134"/>
      <c r="C51" s="83"/>
      <c r="D51" s="84" t="s">
        <v>31</v>
      </c>
      <c r="E51" s="119"/>
      <c r="F51" s="120"/>
      <c r="G51" s="120"/>
      <c r="H51" s="121"/>
      <c r="I51" s="122"/>
      <c r="J51" s="123"/>
      <c r="K51" s="124"/>
      <c r="L51" s="124"/>
      <c r="M51" s="124"/>
      <c r="N51" s="125"/>
      <c r="O51" s="30"/>
      <c r="P51" s="33"/>
    </row>
    <row r="52" spans="1:16" x14ac:dyDescent="0.25">
      <c r="A52" s="85"/>
      <c r="B52" s="85"/>
      <c r="C52" s="86"/>
      <c r="D52" s="87"/>
      <c r="E52" s="85"/>
      <c r="F52" s="86"/>
      <c r="G52" s="86"/>
      <c r="H52" s="88"/>
      <c r="I52" s="86"/>
      <c r="J52" s="86"/>
      <c r="K52" s="89"/>
      <c r="L52" s="86"/>
      <c r="M52" s="86"/>
      <c r="N52" s="86"/>
      <c r="O52" s="30"/>
      <c r="P52" s="33"/>
    </row>
    <row r="53" spans="1:16" ht="96" customHeight="1" x14ac:dyDescent="0.25">
      <c r="A53" s="129" t="s">
        <v>65</v>
      </c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30"/>
      <c r="P53" s="30"/>
    </row>
    <row r="54" spans="1:16" ht="47.25" customHeight="1" x14ac:dyDescent="0.25">
      <c r="A54" s="26"/>
      <c r="B54" s="26"/>
      <c r="C54" s="26"/>
      <c r="D54" s="27" t="s">
        <v>32</v>
      </c>
      <c r="E54" s="27"/>
      <c r="F54" s="27"/>
      <c r="G54" s="27"/>
      <c r="H54" s="27"/>
      <c r="I54" s="27"/>
      <c r="J54" s="28"/>
      <c r="K54" s="28"/>
      <c r="L54" s="90"/>
      <c r="M54" s="28"/>
      <c r="N54" s="91"/>
      <c r="O54" s="30"/>
      <c r="P54" s="33"/>
    </row>
  </sheetData>
  <sheetProtection autoFilter="0"/>
  <autoFilter ref="A10:N51" xr:uid="{00000000-0001-0000-0000-000000000000}"/>
  <mergeCells count="29">
    <mergeCell ref="A53:N53"/>
    <mergeCell ref="A46:B46"/>
    <mergeCell ref="A47:B47"/>
    <mergeCell ref="A48:B48"/>
    <mergeCell ref="A49:B49"/>
    <mergeCell ref="A50:B50"/>
    <mergeCell ref="A51:B51"/>
    <mergeCell ref="A45:B45"/>
    <mergeCell ref="H8:H9"/>
    <mergeCell ref="I8:J8"/>
    <mergeCell ref="K8:K9"/>
    <mergeCell ref="L8:M8"/>
    <mergeCell ref="A39:B39"/>
    <mergeCell ref="A41:B41"/>
    <mergeCell ref="A42:B42"/>
    <mergeCell ref="A43:B43"/>
    <mergeCell ref="A44:B44"/>
    <mergeCell ref="N8:N9"/>
    <mergeCell ref="P8:P10"/>
    <mergeCell ref="A3:N3"/>
    <mergeCell ref="A4:N4"/>
    <mergeCell ref="A5:N5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B3334-6C49-4749-9905-E6B331875FA4}">
  <dimension ref="A1:P46"/>
  <sheetViews>
    <sheetView zoomScale="90" zoomScaleNormal="90" workbookViewId="0"/>
  </sheetViews>
  <sheetFormatPr defaultColWidth="9.140625" defaultRowHeight="15" x14ac:dyDescent="0.25"/>
  <cols>
    <col min="1" max="1" width="9.5703125" style="48" customWidth="1"/>
    <col min="2" max="2" width="2.7109375" style="48" bestFit="1" customWidth="1"/>
    <col min="3" max="3" width="13.5703125" style="31" bestFit="1" customWidth="1"/>
    <col min="4" max="4" width="42.85546875" style="31" customWidth="1"/>
    <col min="5" max="5" width="17" style="31" customWidth="1"/>
    <col min="6" max="6" width="9.7109375" style="31" customWidth="1"/>
    <col min="7" max="7" width="9.5703125" style="31" customWidth="1"/>
    <col min="8" max="8" width="10.7109375" style="31" customWidth="1"/>
    <col min="9" max="10" width="13.7109375" style="31" customWidth="1"/>
    <col min="11" max="11" width="14.7109375" style="31" customWidth="1"/>
    <col min="12" max="12" width="13.28515625" style="31" customWidth="1"/>
    <col min="13" max="13" width="14.7109375" style="31" customWidth="1"/>
    <col min="14" max="14" width="17.28515625" style="31" customWidth="1"/>
    <col min="15" max="15" width="2.7109375" style="31" customWidth="1"/>
    <col min="16" max="16" width="62.140625" style="31" customWidth="1"/>
    <col min="17" max="16384" width="9.140625" style="31"/>
  </cols>
  <sheetData>
    <row r="1" spans="1:16" x14ac:dyDescent="0.25">
      <c r="A1" s="26"/>
      <c r="B1" s="26"/>
      <c r="C1" s="26"/>
      <c r="D1" s="27"/>
      <c r="E1" s="27"/>
      <c r="F1" s="27"/>
      <c r="G1" s="27"/>
      <c r="H1" s="27"/>
      <c r="I1" s="28"/>
      <c r="J1" s="28"/>
      <c r="K1" s="28"/>
      <c r="L1" s="28"/>
      <c r="M1" s="28"/>
      <c r="N1" s="29" t="s">
        <v>0</v>
      </c>
      <c r="O1" s="30"/>
      <c r="P1" s="30"/>
    </row>
    <row r="2" spans="1:16" x14ac:dyDescent="0.25">
      <c r="A2" s="26"/>
      <c r="B2" s="26"/>
      <c r="C2" s="26"/>
      <c r="D2" s="27"/>
      <c r="E2" s="27"/>
      <c r="F2" s="27"/>
      <c r="G2" s="27"/>
      <c r="H2" s="27"/>
      <c r="I2" s="28"/>
      <c r="J2" s="28"/>
      <c r="K2" s="28"/>
      <c r="L2" s="28"/>
      <c r="M2" s="28"/>
      <c r="N2" s="29" t="s">
        <v>1</v>
      </c>
      <c r="O2" s="30"/>
      <c r="P2" s="30"/>
    </row>
    <row r="3" spans="1:16" ht="18.75" x14ac:dyDescent="0.25">
      <c r="A3" s="139" t="s">
        <v>2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30"/>
      <c r="P3" s="30"/>
    </row>
    <row r="4" spans="1:16" ht="15.75" x14ac:dyDescent="0.25">
      <c r="A4" s="140" t="s">
        <v>45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30"/>
      <c r="P4" s="30"/>
    </row>
    <row r="5" spans="1:16" ht="15.75" x14ac:dyDescent="0.25">
      <c r="A5" s="141" t="s">
        <v>40</v>
      </c>
      <c r="B5" s="141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30"/>
      <c r="P5" s="30"/>
    </row>
    <row r="6" spans="1:16" ht="15.75" x14ac:dyDescent="0.25">
      <c r="A6" s="32"/>
      <c r="B6" s="32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30"/>
      <c r="P6" s="30"/>
    </row>
    <row r="7" spans="1:16" ht="16.5" thickBot="1" x14ac:dyDescent="0.3">
      <c r="A7" s="33"/>
      <c r="B7" s="33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30"/>
      <c r="P7" s="30"/>
    </row>
    <row r="8" spans="1:16" x14ac:dyDescent="0.25">
      <c r="A8" s="143" t="s">
        <v>34</v>
      </c>
      <c r="B8" s="153"/>
      <c r="C8" s="145" t="s">
        <v>3</v>
      </c>
      <c r="D8" s="147" t="s">
        <v>4</v>
      </c>
      <c r="E8" s="147" t="s">
        <v>5</v>
      </c>
      <c r="F8" s="147" t="s">
        <v>6</v>
      </c>
      <c r="G8" s="149" t="s">
        <v>7</v>
      </c>
      <c r="H8" s="151" t="s">
        <v>8</v>
      </c>
      <c r="I8" s="155" t="s">
        <v>36</v>
      </c>
      <c r="J8" s="156"/>
      <c r="K8" s="156" t="s">
        <v>10</v>
      </c>
      <c r="L8" s="156" t="s">
        <v>11</v>
      </c>
      <c r="M8" s="156"/>
      <c r="N8" s="158" t="s">
        <v>12</v>
      </c>
      <c r="O8" s="27" t="s">
        <v>13</v>
      </c>
      <c r="P8" s="126" t="s">
        <v>9</v>
      </c>
    </row>
    <row r="9" spans="1:16" ht="26.25" thickBot="1" x14ac:dyDescent="0.3">
      <c r="A9" s="144"/>
      <c r="B9" s="154"/>
      <c r="C9" s="146"/>
      <c r="D9" s="148"/>
      <c r="E9" s="148"/>
      <c r="F9" s="148"/>
      <c r="G9" s="150"/>
      <c r="H9" s="152"/>
      <c r="I9" s="34" t="s">
        <v>14</v>
      </c>
      <c r="J9" s="107" t="s">
        <v>15</v>
      </c>
      <c r="K9" s="157"/>
      <c r="L9" s="107" t="s">
        <v>14</v>
      </c>
      <c r="M9" s="107" t="s">
        <v>15</v>
      </c>
      <c r="N9" s="159"/>
      <c r="O9" s="30"/>
      <c r="P9" s="127"/>
    </row>
    <row r="10" spans="1:16" ht="15.75" thickBot="1" x14ac:dyDescent="0.3">
      <c r="A10" s="35">
        <v>1</v>
      </c>
      <c r="B10" s="36"/>
      <c r="C10" s="37">
        <v>2</v>
      </c>
      <c r="D10" s="38">
        <v>3</v>
      </c>
      <c r="E10" s="38">
        <v>4</v>
      </c>
      <c r="F10" s="38">
        <v>5</v>
      </c>
      <c r="G10" s="39">
        <v>6</v>
      </c>
      <c r="H10" s="21">
        <v>7</v>
      </c>
      <c r="I10" s="22">
        <v>8</v>
      </c>
      <c r="J10" s="23">
        <v>9</v>
      </c>
      <c r="K10" s="23">
        <v>10</v>
      </c>
      <c r="L10" s="23">
        <v>11</v>
      </c>
      <c r="M10" s="23">
        <v>12</v>
      </c>
      <c r="N10" s="24">
        <v>13</v>
      </c>
      <c r="O10" s="40"/>
      <c r="P10" s="128"/>
    </row>
    <row r="11" spans="1:16" s="48" customFormat="1" ht="27" customHeight="1" x14ac:dyDescent="0.25">
      <c r="A11" s="41">
        <v>1</v>
      </c>
      <c r="B11" s="42"/>
      <c r="C11" s="43" t="s">
        <v>61</v>
      </c>
      <c r="D11" s="44" t="s">
        <v>60</v>
      </c>
      <c r="E11" s="45"/>
      <c r="F11" s="45"/>
      <c r="G11" s="46"/>
      <c r="H11" s="11"/>
      <c r="I11" s="92"/>
      <c r="J11" s="93"/>
      <c r="K11" s="17"/>
      <c r="L11" s="12"/>
      <c r="M11" s="12"/>
      <c r="N11" s="13"/>
      <c r="O11" s="47"/>
      <c r="P11" s="97"/>
    </row>
    <row r="12" spans="1:16" s="56" customFormat="1" ht="38.25" x14ac:dyDescent="0.25">
      <c r="A12" s="49">
        <v>2</v>
      </c>
      <c r="B12" s="50" t="s">
        <v>43</v>
      </c>
      <c r="C12" s="51" t="s">
        <v>58</v>
      </c>
      <c r="D12" s="52" t="s">
        <v>59</v>
      </c>
      <c r="E12" s="53" t="s">
        <v>16</v>
      </c>
      <c r="F12" s="53" t="s">
        <v>18</v>
      </c>
      <c r="G12" s="54">
        <v>1</v>
      </c>
      <c r="H12" s="18">
        <f>H13</f>
        <v>1</v>
      </c>
      <c r="I12" s="94"/>
      <c r="J12" s="95"/>
      <c r="K12" s="19">
        <f>J12</f>
        <v>0</v>
      </c>
      <c r="L12" s="19"/>
      <c r="M12" s="19">
        <f>H12*J12</f>
        <v>0</v>
      </c>
      <c r="N12" s="20">
        <f>M12</f>
        <v>0</v>
      </c>
      <c r="O12" s="55"/>
      <c r="P12" s="98" t="s">
        <v>48</v>
      </c>
    </row>
    <row r="13" spans="1:16" s="64" customFormat="1" ht="38.25" x14ac:dyDescent="0.25">
      <c r="A13" s="57">
        <v>3</v>
      </c>
      <c r="B13" s="58" t="s">
        <v>44</v>
      </c>
      <c r="C13" s="59"/>
      <c r="D13" s="60" t="s">
        <v>69</v>
      </c>
      <c r="E13" s="61" t="s">
        <v>17</v>
      </c>
      <c r="F13" s="61" t="s">
        <v>18</v>
      </c>
      <c r="G13" s="62">
        <v>1</v>
      </c>
      <c r="H13" s="8">
        <v>1</v>
      </c>
      <c r="I13" s="9"/>
      <c r="J13" s="10"/>
      <c r="K13" s="6">
        <f>I13</f>
        <v>0</v>
      </c>
      <c r="L13" s="6">
        <f>H13*I13</f>
        <v>0</v>
      </c>
      <c r="M13" s="6"/>
      <c r="N13" s="7">
        <f>L13</f>
        <v>0</v>
      </c>
      <c r="O13" s="63"/>
      <c r="P13" s="99"/>
    </row>
    <row r="14" spans="1:16" s="56" customFormat="1" ht="38.25" x14ac:dyDescent="0.25">
      <c r="A14" s="49">
        <v>4</v>
      </c>
      <c r="B14" s="50" t="s">
        <v>43</v>
      </c>
      <c r="C14" s="51" t="s">
        <v>63</v>
      </c>
      <c r="D14" s="52" t="s">
        <v>62</v>
      </c>
      <c r="E14" s="53" t="s">
        <v>16</v>
      </c>
      <c r="F14" s="53" t="s">
        <v>70</v>
      </c>
      <c r="G14" s="54">
        <v>1</v>
      </c>
      <c r="H14" s="18">
        <f>ROUND(2.25+2.94+4.08+4.27+37.29+37.29+3.97+1.35+6.75+3.61,2)</f>
        <v>103.8</v>
      </c>
      <c r="I14" s="94"/>
      <c r="J14" s="95"/>
      <c r="K14" s="19">
        <f>J14</f>
        <v>0</v>
      </c>
      <c r="L14" s="19"/>
      <c r="M14" s="19">
        <f>H14*J14</f>
        <v>0</v>
      </c>
      <c r="N14" s="20">
        <f>M14</f>
        <v>0</v>
      </c>
      <c r="O14" s="55"/>
      <c r="P14" s="98" t="s">
        <v>46</v>
      </c>
    </row>
    <row r="15" spans="1:16" s="64" customFormat="1" ht="76.5" x14ac:dyDescent="0.25">
      <c r="A15" s="57">
        <v>5</v>
      </c>
      <c r="B15" s="58" t="s">
        <v>44</v>
      </c>
      <c r="C15" s="59"/>
      <c r="D15" s="65" t="s">
        <v>110</v>
      </c>
      <c r="E15" s="61" t="s">
        <v>17</v>
      </c>
      <c r="F15" s="61" t="s">
        <v>71</v>
      </c>
      <c r="G15" s="62">
        <v>1</v>
      </c>
      <c r="H15" s="103">
        <f>ROUND((0.0017+0.03925*0.015*1)*2.25,3)</f>
        <v>5.0000000000000001E-3</v>
      </c>
      <c r="I15" s="9"/>
      <c r="J15" s="96"/>
      <c r="K15" s="6">
        <f>I15</f>
        <v>0</v>
      </c>
      <c r="L15" s="6">
        <f t="shared" ref="L15:L24" si="0">H15*I15</f>
        <v>0</v>
      </c>
      <c r="M15" s="6"/>
      <c r="N15" s="7">
        <f>L15</f>
        <v>0</v>
      </c>
      <c r="O15" s="63"/>
      <c r="P15" s="99"/>
    </row>
    <row r="16" spans="1:16" s="64" customFormat="1" ht="76.5" x14ac:dyDescent="0.25">
      <c r="A16" s="57">
        <v>6</v>
      </c>
      <c r="B16" s="58" t="s">
        <v>44</v>
      </c>
      <c r="C16" s="59"/>
      <c r="D16" s="65" t="s">
        <v>111</v>
      </c>
      <c r="E16" s="61" t="s">
        <v>17</v>
      </c>
      <c r="F16" s="61" t="s">
        <v>71</v>
      </c>
      <c r="G16" s="62">
        <v>1</v>
      </c>
      <c r="H16" s="103">
        <f>ROUND((0.0017+0.03925*0.015*1)*2.94,3)</f>
        <v>7.0000000000000001E-3</v>
      </c>
      <c r="I16" s="9"/>
      <c r="J16" s="96"/>
      <c r="K16" s="6">
        <f t="shared" ref="K16:K24" si="1">I16</f>
        <v>0</v>
      </c>
      <c r="L16" s="6">
        <f t="shared" si="0"/>
        <v>0</v>
      </c>
      <c r="M16" s="6"/>
      <c r="N16" s="7">
        <f t="shared" ref="N16:N24" si="2">L16</f>
        <v>0</v>
      </c>
      <c r="O16" s="63"/>
      <c r="P16" s="99"/>
    </row>
    <row r="17" spans="1:16" s="64" customFormat="1" ht="102" x14ac:dyDescent="0.25">
      <c r="A17" s="57">
        <v>7</v>
      </c>
      <c r="B17" s="58" t="s">
        <v>44</v>
      </c>
      <c r="C17" s="59"/>
      <c r="D17" s="65" t="s">
        <v>98</v>
      </c>
      <c r="E17" s="61" t="s">
        <v>17</v>
      </c>
      <c r="F17" s="61" t="s">
        <v>71</v>
      </c>
      <c r="G17" s="62">
        <v>1</v>
      </c>
      <c r="H17" s="103">
        <f>ROUND((0.0017+0.0017+1.35*4*0.00139+1.35*6*0.001075+0.03925*0.015*4)*4.08,3)</f>
        <v>0.09</v>
      </c>
      <c r="I17" s="9"/>
      <c r="J17" s="96"/>
      <c r="K17" s="6">
        <f t="shared" si="1"/>
        <v>0</v>
      </c>
      <c r="L17" s="6">
        <f t="shared" si="0"/>
        <v>0</v>
      </c>
      <c r="M17" s="6"/>
      <c r="N17" s="7">
        <f t="shared" si="2"/>
        <v>0</v>
      </c>
      <c r="O17" s="63"/>
      <c r="P17" s="99"/>
    </row>
    <row r="18" spans="1:16" s="64" customFormat="1" ht="102" x14ac:dyDescent="0.25">
      <c r="A18" s="57">
        <v>8</v>
      </c>
      <c r="B18" s="58" t="s">
        <v>44</v>
      </c>
      <c r="C18" s="59"/>
      <c r="D18" s="65" t="s">
        <v>99</v>
      </c>
      <c r="E18" s="61" t="s">
        <v>17</v>
      </c>
      <c r="F18" s="61" t="s">
        <v>71</v>
      </c>
      <c r="G18" s="62">
        <v>1</v>
      </c>
      <c r="H18" s="103">
        <f>ROUND((0.0017+0.0017+1.35*4*0.00139+1.35*6*0.001075+0.03925*0.015*4)*4.27,3)</f>
        <v>9.4E-2</v>
      </c>
      <c r="I18" s="9"/>
      <c r="J18" s="96"/>
      <c r="K18" s="6">
        <f t="shared" si="1"/>
        <v>0</v>
      </c>
      <c r="L18" s="6">
        <f t="shared" si="0"/>
        <v>0</v>
      </c>
      <c r="M18" s="6"/>
      <c r="N18" s="7">
        <f t="shared" si="2"/>
        <v>0</v>
      </c>
      <c r="O18" s="63"/>
      <c r="P18" s="99"/>
    </row>
    <row r="19" spans="1:16" s="64" customFormat="1" ht="102" x14ac:dyDescent="0.25">
      <c r="A19" s="57">
        <v>9</v>
      </c>
      <c r="B19" s="58" t="s">
        <v>44</v>
      </c>
      <c r="C19" s="59"/>
      <c r="D19" s="65" t="s">
        <v>112</v>
      </c>
      <c r="E19" s="61" t="s">
        <v>17</v>
      </c>
      <c r="F19" s="61" t="s">
        <v>71</v>
      </c>
      <c r="G19" s="62">
        <v>1</v>
      </c>
      <c r="H19" s="103">
        <f>ROUND((0.0017+0.0017+1.35*4*0.00139+1.35*6*0.001075+0.03925*0.015*4)*37.29,3)</f>
        <v>0.81899999999999995</v>
      </c>
      <c r="I19" s="9"/>
      <c r="J19" s="96"/>
      <c r="K19" s="6">
        <f t="shared" si="1"/>
        <v>0</v>
      </c>
      <c r="L19" s="6">
        <f t="shared" si="0"/>
        <v>0</v>
      </c>
      <c r="M19" s="6"/>
      <c r="N19" s="7">
        <f t="shared" si="2"/>
        <v>0</v>
      </c>
      <c r="O19" s="63"/>
      <c r="P19" s="99"/>
    </row>
    <row r="20" spans="1:16" s="64" customFormat="1" ht="102" x14ac:dyDescent="0.25">
      <c r="A20" s="57">
        <v>10</v>
      </c>
      <c r="B20" s="58" t="s">
        <v>44</v>
      </c>
      <c r="C20" s="59"/>
      <c r="D20" s="65" t="s">
        <v>113</v>
      </c>
      <c r="E20" s="61" t="s">
        <v>17</v>
      </c>
      <c r="F20" s="61" t="s">
        <v>71</v>
      </c>
      <c r="G20" s="62">
        <v>1</v>
      </c>
      <c r="H20" s="103">
        <f>ROUND((0.0017+0.0017+1.35*4*0.00139+1.35*6*0.001075+0.03925*0.015*4)*37.29,3)</f>
        <v>0.81899999999999995</v>
      </c>
      <c r="I20" s="9"/>
      <c r="J20" s="96"/>
      <c r="K20" s="6">
        <f t="shared" ref="K20" si="3">I20</f>
        <v>0</v>
      </c>
      <c r="L20" s="6">
        <f t="shared" si="0"/>
        <v>0</v>
      </c>
      <c r="M20" s="6"/>
      <c r="N20" s="7">
        <f t="shared" ref="N20" si="4">L20</f>
        <v>0</v>
      </c>
      <c r="O20" s="63"/>
      <c r="P20" s="99"/>
    </row>
    <row r="21" spans="1:16" s="64" customFormat="1" ht="102" x14ac:dyDescent="0.25">
      <c r="A21" s="57">
        <v>11</v>
      </c>
      <c r="B21" s="58" t="s">
        <v>44</v>
      </c>
      <c r="C21" s="59"/>
      <c r="D21" s="65" t="s">
        <v>102</v>
      </c>
      <c r="E21" s="61" t="s">
        <v>17</v>
      </c>
      <c r="F21" s="61" t="s">
        <v>71</v>
      </c>
      <c r="G21" s="62">
        <v>1</v>
      </c>
      <c r="H21" s="103">
        <f>ROUND((0.0017+0.0017+1.35*4*0.00139+1.35*6*0.001075+0.03925*0.015*4)*3.97,3)</f>
        <v>8.6999999999999994E-2</v>
      </c>
      <c r="I21" s="9"/>
      <c r="J21" s="96"/>
      <c r="K21" s="6">
        <f t="shared" ref="K21" si="5">I21</f>
        <v>0</v>
      </c>
      <c r="L21" s="6">
        <f t="shared" si="0"/>
        <v>0</v>
      </c>
      <c r="M21" s="6"/>
      <c r="N21" s="7">
        <f t="shared" ref="N21" si="6">L21</f>
        <v>0</v>
      </c>
      <c r="O21" s="63"/>
      <c r="P21" s="99"/>
    </row>
    <row r="22" spans="1:16" s="64" customFormat="1" ht="102" x14ac:dyDescent="0.25">
      <c r="A22" s="57">
        <v>12</v>
      </c>
      <c r="B22" s="58" t="s">
        <v>44</v>
      </c>
      <c r="C22" s="59"/>
      <c r="D22" s="65" t="s">
        <v>103</v>
      </c>
      <c r="E22" s="61" t="s">
        <v>17</v>
      </c>
      <c r="F22" s="61" t="s">
        <v>71</v>
      </c>
      <c r="G22" s="62">
        <v>1</v>
      </c>
      <c r="H22" s="103">
        <f>ROUND((0.0017+0.0017+1.35*4*0.00139+1.35*6*0.001075+0.03925*0.015*4)*1.35,3)</f>
        <v>0.03</v>
      </c>
      <c r="I22" s="9"/>
      <c r="J22" s="96"/>
      <c r="K22" s="6">
        <f t="shared" si="1"/>
        <v>0</v>
      </c>
      <c r="L22" s="6">
        <f t="shared" si="0"/>
        <v>0</v>
      </c>
      <c r="M22" s="6"/>
      <c r="N22" s="7">
        <f t="shared" si="2"/>
        <v>0</v>
      </c>
      <c r="O22" s="63"/>
      <c r="P22" s="99"/>
    </row>
    <row r="23" spans="1:16" s="64" customFormat="1" ht="102" x14ac:dyDescent="0.25">
      <c r="A23" s="57">
        <v>13</v>
      </c>
      <c r="B23" s="58" t="s">
        <v>44</v>
      </c>
      <c r="C23" s="59"/>
      <c r="D23" s="65" t="s">
        <v>114</v>
      </c>
      <c r="E23" s="61" t="s">
        <v>17</v>
      </c>
      <c r="F23" s="61" t="s">
        <v>71</v>
      </c>
      <c r="G23" s="62">
        <v>1</v>
      </c>
      <c r="H23" s="103">
        <f>ROUND((0.0017+1.35*2*0.001075)*6.75,3)</f>
        <v>3.1E-2</v>
      </c>
      <c r="I23" s="9"/>
      <c r="J23" s="96"/>
      <c r="K23" s="6">
        <f t="shared" si="1"/>
        <v>0</v>
      </c>
      <c r="L23" s="6">
        <f t="shared" si="0"/>
        <v>0</v>
      </c>
      <c r="M23" s="6"/>
      <c r="N23" s="7">
        <f t="shared" si="2"/>
        <v>0</v>
      </c>
      <c r="O23" s="63"/>
      <c r="P23" s="99"/>
    </row>
    <row r="24" spans="1:16" s="64" customFormat="1" ht="102" x14ac:dyDescent="0.25">
      <c r="A24" s="57">
        <v>14</v>
      </c>
      <c r="B24" s="58" t="s">
        <v>44</v>
      </c>
      <c r="C24" s="59"/>
      <c r="D24" s="65" t="s">
        <v>105</v>
      </c>
      <c r="E24" s="61" t="s">
        <v>17</v>
      </c>
      <c r="F24" s="61" t="s">
        <v>71</v>
      </c>
      <c r="G24" s="62">
        <v>1</v>
      </c>
      <c r="H24" s="103">
        <f>ROUND((0.0017+0.0017+1.35*4*0.00139+1.35*6*0.001075+0.03925*0.015*4)*3.61,3)</f>
        <v>7.9000000000000001E-2</v>
      </c>
      <c r="I24" s="9"/>
      <c r="J24" s="96"/>
      <c r="K24" s="6">
        <f t="shared" si="1"/>
        <v>0</v>
      </c>
      <c r="L24" s="6">
        <f t="shared" si="0"/>
        <v>0</v>
      </c>
      <c r="M24" s="6"/>
      <c r="N24" s="7">
        <f t="shared" si="2"/>
        <v>0</v>
      </c>
      <c r="O24" s="63"/>
      <c r="P24" s="99"/>
    </row>
    <row r="25" spans="1:16" s="56" customFormat="1" ht="38.25" x14ac:dyDescent="0.25">
      <c r="A25" s="49">
        <v>15</v>
      </c>
      <c r="B25" s="50" t="s">
        <v>43</v>
      </c>
      <c r="C25" s="51" t="s">
        <v>63</v>
      </c>
      <c r="D25" s="52" t="s">
        <v>62</v>
      </c>
      <c r="E25" s="53" t="s">
        <v>16</v>
      </c>
      <c r="F25" s="53" t="s">
        <v>70</v>
      </c>
      <c r="G25" s="54">
        <v>1</v>
      </c>
      <c r="H25" s="18">
        <f>SUM(H26:H27)</f>
        <v>7.5600000000000005</v>
      </c>
      <c r="I25" s="94"/>
      <c r="J25" s="95"/>
      <c r="K25" s="19">
        <f>J25</f>
        <v>0</v>
      </c>
      <c r="L25" s="19"/>
      <c r="M25" s="19">
        <f>H25*J25</f>
        <v>0</v>
      </c>
      <c r="N25" s="20">
        <f>M25</f>
        <v>0</v>
      </c>
      <c r="O25" s="55"/>
      <c r="P25" s="98" t="s">
        <v>47</v>
      </c>
    </row>
    <row r="26" spans="1:16" s="64" customFormat="1" ht="38.25" x14ac:dyDescent="0.25">
      <c r="A26" s="57">
        <v>16</v>
      </c>
      <c r="B26" s="58" t="s">
        <v>44</v>
      </c>
      <c r="C26" s="59"/>
      <c r="D26" s="60" t="s">
        <v>115</v>
      </c>
      <c r="E26" s="61" t="s">
        <v>17</v>
      </c>
      <c r="F26" s="61" t="s">
        <v>70</v>
      </c>
      <c r="G26" s="62">
        <v>1</v>
      </c>
      <c r="H26" s="8">
        <f>ROUND(1*(1.145+2.735),2)</f>
        <v>3.88</v>
      </c>
      <c r="I26" s="9"/>
      <c r="J26" s="10"/>
      <c r="K26" s="6">
        <f t="shared" ref="K26:K27" si="7">I26</f>
        <v>0</v>
      </c>
      <c r="L26" s="6">
        <f>H26*I26</f>
        <v>0</v>
      </c>
      <c r="M26" s="6"/>
      <c r="N26" s="7">
        <f t="shared" ref="N26:N27" si="8">L26</f>
        <v>0</v>
      </c>
      <c r="O26" s="63"/>
      <c r="P26" s="99"/>
    </row>
    <row r="27" spans="1:16" s="64" customFormat="1" ht="38.25" x14ac:dyDescent="0.25">
      <c r="A27" s="57">
        <v>17</v>
      </c>
      <c r="B27" s="58" t="s">
        <v>44</v>
      </c>
      <c r="C27" s="59"/>
      <c r="D27" s="60" t="s">
        <v>116</v>
      </c>
      <c r="E27" s="61" t="s">
        <v>17</v>
      </c>
      <c r="F27" s="61" t="s">
        <v>70</v>
      </c>
      <c r="G27" s="62">
        <v>1</v>
      </c>
      <c r="H27" s="8">
        <f>ROUND(1*(1.145+2.533),2)</f>
        <v>3.68</v>
      </c>
      <c r="I27" s="9"/>
      <c r="J27" s="10"/>
      <c r="K27" s="6">
        <f t="shared" si="7"/>
        <v>0</v>
      </c>
      <c r="L27" s="6">
        <f t="shared" ref="L27" si="9">H27*I27</f>
        <v>0</v>
      </c>
      <c r="M27" s="6"/>
      <c r="N27" s="7">
        <f t="shared" si="8"/>
        <v>0</v>
      </c>
      <c r="O27" s="63"/>
      <c r="P27" s="99"/>
    </row>
    <row r="28" spans="1:16" s="56" customFormat="1" ht="51" x14ac:dyDescent="0.25">
      <c r="A28" s="41">
        <v>18</v>
      </c>
      <c r="B28" s="42" t="s">
        <v>43</v>
      </c>
      <c r="C28" s="43" t="s">
        <v>61</v>
      </c>
      <c r="D28" s="44" t="s">
        <v>49</v>
      </c>
      <c r="E28" s="45" t="s">
        <v>16</v>
      </c>
      <c r="F28" s="45" t="s">
        <v>18</v>
      </c>
      <c r="G28" s="46">
        <v>1</v>
      </c>
      <c r="H28" s="11">
        <f>H29</f>
        <v>2</v>
      </c>
      <c r="I28" s="92"/>
      <c r="J28" s="93"/>
      <c r="K28" s="17">
        <f>J28</f>
        <v>0</v>
      </c>
      <c r="L28" s="12"/>
      <c r="M28" s="12">
        <f>H28*J28</f>
        <v>0</v>
      </c>
      <c r="N28" s="13">
        <f>M28</f>
        <v>0</v>
      </c>
      <c r="O28" s="55"/>
      <c r="P28" s="98" t="s">
        <v>49</v>
      </c>
    </row>
    <row r="29" spans="1:16" s="64" customFormat="1" ht="26.25" thickBot="1" x14ac:dyDescent="0.3">
      <c r="A29" s="57">
        <v>19</v>
      </c>
      <c r="B29" s="58" t="s">
        <v>44</v>
      </c>
      <c r="C29" s="59"/>
      <c r="D29" s="60" t="s">
        <v>50</v>
      </c>
      <c r="E29" s="61" t="s">
        <v>17</v>
      </c>
      <c r="F29" s="61" t="s">
        <v>18</v>
      </c>
      <c r="G29" s="62">
        <v>1</v>
      </c>
      <c r="H29" s="8">
        <v>2</v>
      </c>
      <c r="I29" s="9"/>
      <c r="J29" s="10"/>
      <c r="K29" s="6">
        <f>I29</f>
        <v>0</v>
      </c>
      <c r="L29" s="6">
        <f>H29*I29</f>
        <v>0</v>
      </c>
      <c r="M29" s="6"/>
      <c r="N29" s="7">
        <f>L29</f>
        <v>0</v>
      </c>
      <c r="O29" s="63"/>
      <c r="P29" s="100"/>
    </row>
    <row r="30" spans="1:16" x14ac:dyDescent="0.25">
      <c r="A30" s="25"/>
      <c r="B30" s="16"/>
      <c r="C30" s="1"/>
      <c r="D30" s="2" t="s">
        <v>19</v>
      </c>
      <c r="E30" s="1"/>
      <c r="F30" s="1"/>
      <c r="G30" s="1"/>
      <c r="H30" s="15"/>
      <c r="I30" s="14"/>
      <c r="J30" s="3"/>
      <c r="K30" s="3"/>
      <c r="L30" s="4">
        <f>SUM(L11:L29)</f>
        <v>0</v>
      </c>
      <c r="M30" s="4">
        <f>SUM(M11:M29)</f>
        <v>0</v>
      </c>
      <c r="N30" s="5">
        <f>SUM(N11:N29)</f>
        <v>0</v>
      </c>
      <c r="O30" s="30"/>
      <c r="P30" s="33"/>
    </row>
    <row r="31" spans="1:16" x14ac:dyDescent="0.25">
      <c r="A31" s="131"/>
      <c r="B31" s="132"/>
      <c r="C31" s="69"/>
      <c r="D31" s="2" t="s">
        <v>35</v>
      </c>
      <c r="E31" s="1"/>
      <c r="F31" s="1"/>
      <c r="G31" s="1"/>
      <c r="H31" s="70"/>
      <c r="I31" s="71"/>
      <c r="J31" s="72"/>
      <c r="K31" s="72"/>
      <c r="L31" s="4"/>
      <c r="M31" s="4"/>
      <c r="N31" s="5">
        <f>N30/1.22*0.22</f>
        <v>0</v>
      </c>
      <c r="O31" s="30"/>
      <c r="P31" s="33"/>
    </row>
    <row r="32" spans="1:16" x14ac:dyDescent="0.25">
      <c r="A32" s="73" t="s">
        <v>20</v>
      </c>
      <c r="B32" s="74"/>
      <c r="C32" s="74"/>
      <c r="D32" s="74"/>
      <c r="E32" s="74"/>
      <c r="F32" s="74"/>
      <c r="G32" s="74"/>
      <c r="H32" s="75"/>
      <c r="I32" s="76"/>
      <c r="J32" s="76"/>
      <c r="K32" s="77"/>
      <c r="L32" s="77"/>
      <c r="M32" s="77"/>
      <c r="N32" s="78"/>
      <c r="O32" s="30"/>
      <c r="P32" s="33"/>
    </row>
    <row r="33" spans="1:16" x14ac:dyDescent="0.25">
      <c r="A33" s="137">
        <v>1</v>
      </c>
      <c r="B33" s="138"/>
      <c r="C33" s="79"/>
      <c r="D33" s="80" t="s">
        <v>21</v>
      </c>
      <c r="E33" s="108"/>
      <c r="F33" s="109"/>
      <c r="G33" s="109"/>
      <c r="H33" s="110"/>
      <c r="I33" s="111"/>
      <c r="J33" s="112"/>
      <c r="K33" s="113"/>
      <c r="L33" s="113"/>
      <c r="M33" s="113"/>
      <c r="N33" s="114"/>
      <c r="O33" s="30"/>
      <c r="P33" s="30"/>
    </row>
    <row r="34" spans="1:16" ht="30" customHeight="1" x14ac:dyDescent="0.25">
      <c r="A34" s="135">
        <v>2</v>
      </c>
      <c r="B34" s="136"/>
      <c r="C34" s="104"/>
      <c r="D34" s="81" t="s">
        <v>22</v>
      </c>
      <c r="E34" s="115"/>
      <c r="F34" s="116"/>
      <c r="G34" s="116"/>
      <c r="H34" s="117"/>
      <c r="I34" s="111"/>
      <c r="J34" s="112"/>
      <c r="K34" s="113"/>
      <c r="L34" s="113"/>
      <c r="M34" s="113"/>
      <c r="N34" s="114"/>
      <c r="O34" s="30"/>
      <c r="P34" s="33"/>
    </row>
    <row r="35" spans="1:16" x14ac:dyDescent="0.25">
      <c r="A35" s="135">
        <v>3</v>
      </c>
      <c r="B35" s="136"/>
      <c r="C35" s="79"/>
      <c r="D35" s="81" t="s">
        <v>23</v>
      </c>
      <c r="E35" s="115"/>
      <c r="F35" s="116"/>
      <c r="G35" s="116"/>
      <c r="H35" s="117"/>
      <c r="I35" s="111"/>
      <c r="J35" s="112"/>
      <c r="K35" s="113"/>
      <c r="L35" s="113"/>
      <c r="M35" s="113"/>
      <c r="N35" s="114"/>
      <c r="O35" s="30"/>
      <c r="P35" s="33"/>
    </row>
    <row r="36" spans="1:16" ht="25.5" x14ac:dyDescent="0.25">
      <c r="A36" s="135">
        <v>4</v>
      </c>
      <c r="B36" s="136"/>
      <c r="C36" s="104"/>
      <c r="D36" s="81" t="s">
        <v>24</v>
      </c>
      <c r="E36" s="115"/>
      <c r="F36" s="116"/>
      <c r="G36" s="116"/>
      <c r="H36" s="117"/>
      <c r="I36" s="111"/>
      <c r="J36" s="112"/>
      <c r="K36" s="113"/>
      <c r="L36" s="113"/>
      <c r="M36" s="113"/>
      <c r="N36" s="114"/>
      <c r="O36" s="30"/>
      <c r="P36" s="33"/>
    </row>
    <row r="37" spans="1:16" ht="25.5" x14ac:dyDescent="0.25">
      <c r="A37" s="135">
        <v>5</v>
      </c>
      <c r="B37" s="136"/>
      <c r="C37" s="79"/>
      <c r="D37" s="81" t="s">
        <v>25</v>
      </c>
      <c r="E37" s="115"/>
      <c r="F37" s="116"/>
      <c r="G37" s="116"/>
      <c r="H37" s="117"/>
      <c r="I37" s="111"/>
      <c r="J37" s="112"/>
      <c r="K37" s="113"/>
      <c r="L37" s="113"/>
      <c r="M37" s="113"/>
      <c r="N37" s="114"/>
      <c r="O37" s="30"/>
      <c r="P37" s="30"/>
    </row>
    <row r="38" spans="1:16" x14ac:dyDescent="0.25">
      <c r="A38" s="135">
        <v>6</v>
      </c>
      <c r="B38" s="136"/>
      <c r="C38" s="104"/>
      <c r="D38" s="81" t="s">
        <v>26</v>
      </c>
      <c r="E38" s="115"/>
      <c r="F38" s="116"/>
      <c r="G38" s="116"/>
      <c r="H38" s="117"/>
      <c r="I38" s="111"/>
      <c r="J38" s="112"/>
      <c r="K38" s="113"/>
      <c r="L38" s="113"/>
      <c r="M38" s="113"/>
      <c r="N38" s="114"/>
      <c r="O38" s="30"/>
      <c r="P38" s="33"/>
    </row>
    <row r="39" spans="1:16" x14ac:dyDescent="0.25">
      <c r="A39" s="135">
        <v>7</v>
      </c>
      <c r="B39" s="136"/>
      <c r="C39" s="79"/>
      <c r="D39" s="81" t="s">
        <v>27</v>
      </c>
      <c r="E39" s="115"/>
      <c r="F39" s="116"/>
      <c r="G39" s="116"/>
      <c r="H39" s="117"/>
      <c r="I39" s="111"/>
      <c r="J39" s="112"/>
      <c r="K39" s="113"/>
      <c r="L39" s="113"/>
      <c r="M39" s="113"/>
      <c r="N39" s="114"/>
      <c r="O39" s="30"/>
      <c r="P39" s="33"/>
    </row>
    <row r="40" spans="1:16" x14ac:dyDescent="0.25">
      <c r="A40" s="135">
        <v>8</v>
      </c>
      <c r="B40" s="136"/>
      <c r="C40" s="104"/>
      <c r="D40" s="81" t="s">
        <v>28</v>
      </c>
      <c r="E40" s="115"/>
      <c r="F40" s="116"/>
      <c r="G40" s="116"/>
      <c r="H40" s="117"/>
      <c r="I40" s="111"/>
      <c r="J40" s="112"/>
      <c r="K40" s="113"/>
      <c r="L40" s="113"/>
      <c r="M40" s="113"/>
      <c r="N40" s="114"/>
      <c r="O40" s="30"/>
      <c r="P40" s="33"/>
    </row>
    <row r="41" spans="1:16" x14ac:dyDescent="0.25">
      <c r="A41" s="135">
        <v>9</v>
      </c>
      <c r="B41" s="136"/>
      <c r="C41" s="79"/>
      <c r="D41" s="81" t="s">
        <v>29</v>
      </c>
      <c r="E41" s="115"/>
      <c r="F41" s="116"/>
      <c r="G41" s="116"/>
      <c r="H41" s="117"/>
      <c r="I41" s="111"/>
      <c r="J41" s="112"/>
      <c r="K41" s="113"/>
      <c r="L41" s="113"/>
      <c r="M41" s="113"/>
      <c r="N41" s="114"/>
      <c r="O41" s="30"/>
      <c r="P41" s="30"/>
    </row>
    <row r="42" spans="1:16" ht="25.5" x14ac:dyDescent="0.25">
      <c r="A42" s="135">
        <v>10</v>
      </c>
      <c r="B42" s="136"/>
      <c r="C42" s="104"/>
      <c r="D42" s="82" t="s">
        <v>30</v>
      </c>
      <c r="E42" s="118"/>
      <c r="F42" s="116"/>
      <c r="G42" s="116"/>
      <c r="H42" s="117"/>
      <c r="I42" s="111"/>
      <c r="J42" s="112"/>
      <c r="K42" s="113"/>
      <c r="L42" s="113"/>
      <c r="M42" s="113"/>
      <c r="N42" s="114"/>
      <c r="O42" s="30"/>
      <c r="P42" s="33"/>
    </row>
    <row r="43" spans="1:16" ht="15.75" thickBot="1" x14ac:dyDescent="0.3">
      <c r="A43" s="133">
        <v>11</v>
      </c>
      <c r="B43" s="134"/>
      <c r="C43" s="83"/>
      <c r="D43" s="84" t="s">
        <v>31</v>
      </c>
      <c r="E43" s="119"/>
      <c r="F43" s="120"/>
      <c r="G43" s="120"/>
      <c r="H43" s="121"/>
      <c r="I43" s="122"/>
      <c r="J43" s="123"/>
      <c r="K43" s="124"/>
      <c r="L43" s="124"/>
      <c r="M43" s="124"/>
      <c r="N43" s="125"/>
      <c r="O43" s="30"/>
      <c r="P43" s="33"/>
    </row>
    <row r="44" spans="1:16" x14ac:dyDescent="0.25">
      <c r="A44" s="85"/>
      <c r="B44" s="85"/>
      <c r="C44" s="86"/>
      <c r="D44" s="87"/>
      <c r="E44" s="85"/>
      <c r="F44" s="86"/>
      <c r="G44" s="86"/>
      <c r="H44" s="88"/>
      <c r="I44" s="86"/>
      <c r="J44" s="86"/>
      <c r="K44" s="89"/>
      <c r="L44" s="86"/>
      <c r="M44" s="86"/>
      <c r="N44" s="86"/>
      <c r="O44" s="30"/>
      <c r="P44" s="33"/>
    </row>
    <row r="45" spans="1:16" ht="96" customHeight="1" x14ac:dyDescent="0.25">
      <c r="A45" s="129" t="s">
        <v>65</v>
      </c>
      <c r="B45" s="129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30"/>
      <c r="P45" s="30"/>
    </row>
    <row r="46" spans="1:16" ht="47.25" customHeight="1" x14ac:dyDescent="0.25">
      <c r="A46" s="26"/>
      <c r="B46" s="26"/>
      <c r="C46" s="26"/>
      <c r="D46" s="27" t="s">
        <v>32</v>
      </c>
      <c r="E46" s="27"/>
      <c r="F46" s="27"/>
      <c r="G46" s="27"/>
      <c r="H46" s="27"/>
      <c r="I46" s="27"/>
      <c r="J46" s="28"/>
      <c r="K46" s="28"/>
      <c r="L46" s="90"/>
      <c r="M46" s="28"/>
      <c r="N46" s="91"/>
      <c r="O46" s="30"/>
      <c r="P46" s="33"/>
    </row>
  </sheetData>
  <sheetProtection autoFilter="0"/>
  <autoFilter ref="A10:N43" xr:uid="{00000000-0001-0000-0000-000000000000}"/>
  <mergeCells count="29">
    <mergeCell ref="A45:N45"/>
    <mergeCell ref="A38:B38"/>
    <mergeCell ref="A39:B39"/>
    <mergeCell ref="A40:B40"/>
    <mergeCell ref="A41:B41"/>
    <mergeCell ref="A42:B42"/>
    <mergeCell ref="A43:B43"/>
    <mergeCell ref="A37:B37"/>
    <mergeCell ref="H8:H9"/>
    <mergeCell ref="I8:J8"/>
    <mergeCell ref="K8:K9"/>
    <mergeCell ref="L8:M8"/>
    <mergeCell ref="A31:B31"/>
    <mergeCell ref="A33:B33"/>
    <mergeCell ref="A34:B34"/>
    <mergeCell ref="A35:B35"/>
    <mergeCell ref="A36:B36"/>
    <mergeCell ref="N8:N9"/>
    <mergeCell ref="P8:P10"/>
    <mergeCell ref="A3:N3"/>
    <mergeCell ref="A4:N4"/>
    <mergeCell ref="A5:N5"/>
    <mergeCell ref="A8:A9"/>
    <mergeCell ref="B8:B9"/>
    <mergeCell ref="C8:C9"/>
    <mergeCell ref="D8:D9"/>
    <mergeCell ref="E8:E9"/>
    <mergeCell ref="F8:F9"/>
    <mergeCell ref="G8:G9"/>
  </mergeCells>
  <phoneticPr fontId="25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C5C94-A975-4355-B3B0-16F993A0E352}">
  <dimension ref="A1:P45"/>
  <sheetViews>
    <sheetView zoomScale="90" zoomScaleNormal="90" workbookViewId="0"/>
  </sheetViews>
  <sheetFormatPr defaultColWidth="9.140625" defaultRowHeight="15" x14ac:dyDescent="0.25"/>
  <cols>
    <col min="1" max="1" width="9.5703125" style="48" customWidth="1"/>
    <col min="2" max="2" width="2.7109375" style="48" bestFit="1" customWidth="1"/>
    <col min="3" max="3" width="13.5703125" style="31" bestFit="1" customWidth="1"/>
    <col min="4" max="4" width="42.85546875" style="31" customWidth="1"/>
    <col min="5" max="5" width="17" style="31" customWidth="1"/>
    <col min="6" max="6" width="9.7109375" style="31" customWidth="1"/>
    <col min="7" max="7" width="9.5703125" style="31" customWidth="1"/>
    <col min="8" max="8" width="10.7109375" style="31" customWidth="1"/>
    <col min="9" max="10" width="13.7109375" style="31" customWidth="1"/>
    <col min="11" max="11" width="14.7109375" style="31" customWidth="1"/>
    <col min="12" max="12" width="13.28515625" style="31" customWidth="1"/>
    <col min="13" max="13" width="14.7109375" style="31" customWidth="1"/>
    <col min="14" max="14" width="17.28515625" style="31" customWidth="1"/>
    <col min="15" max="15" width="2.7109375" style="31" customWidth="1"/>
    <col min="16" max="16" width="62.140625" style="31" customWidth="1"/>
    <col min="17" max="16384" width="9.140625" style="31"/>
  </cols>
  <sheetData>
    <row r="1" spans="1:16" x14ac:dyDescent="0.25">
      <c r="A1" s="26"/>
      <c r="B1" s="26"/>
      <c r="C1" s="26"/>
      <c r="D1" s="27"/>
      <c r="E1" s="27"/>
      <c r="F1" s="27"/>
      <c r="G1" s="27"/>
      <c r="H1" s="27"/>
      <c r="I1" s="28"/>
      <c r="J1" s="28"/>
      <c r="K1" s="28"/>
      <c r="L1" s="28"/>
      <c r="M1" s="28"/>
      <c r="N1" s="29" t="s">
        <v>0</v>
      </c>
      <c r="O1" s="30"/>
      <c r="P1" s="30"/>
    </row>
    <row r="2" spans="1:16" x14ac:dyDescent="0.25">
      <c r="A2" s="26"/>
      <c r="B2" s="26"/>
      <c r="C2" s="26"/>
      <c r="D2" s="27"/>
      <c r="E2" s="27"/>
      <c r="F2" s="27"/>
      <c r="G2" s="27"/>
      <c r="H2" s="27"/>
      <c r="I2" s="28"/>
      <c r="J2" s="28"/>
      <c r="K2" s="28"/>
      <c r="L2" s="28"/>
      <c r="M2" s="28"/>
      <c r="N2" s="29" t="s">
        <v>1</v>
      </c>
      <c r="O2" s="30"/>
      <c r="P2" s="30"/>
    </row>
    <row r="3" spans="1:16" ht="18.75" x14ac:dyDescent="0.25">
      <c r="A3" s="139" t="s">
        <v>2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30"/>
      <c r="P3" s="30"/>
    </row>
    <row r="4" spans="1:16" ht="15.75" x14ac:dyDescent="0.25">
      <c r="A4" s="140" t="s">
        <v>45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30"/>
      <c r="P4" s="30"/>
    </row>
    <row r="5" spans="1:16" ht="15.75" x14ac:dyDescent="0.25">
      <c r="A5" s="141" t="s">
        <v>41</v>
      </c>
      <c r="B5" s="141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30"/>
      <c r="P5" s="30"/>
    </row>
    <row r="6" spans="1:16" ht="15.75" x14ac:dyDescent="0.25">
      <c r="A6" s="32"/>
      <c r="B6" s="32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30"/>
      <c r="P6" s="30"/>
    </row>
    <row r="7" spans="1:16" ht="16.5" thickBot="1" x14ac:dyDescent="0.3">
      <c r="A7" s="33"/>
      <c r="B7" s="33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30"/>
      <c r="P7" s="30"/>
    </row>
    <row r="8" spans="1:16" x14ac:dyDescent="0.25">
      <c r="A8" s="143" t="s">
        <v>34</v>
      </c>
      <c r="B8" s="153"/>
      <c r="C8" s="145" t="s">
        <v>3</v>
      </c>
      <c r="D8" s="147" t="s">
        <v>4</v>
      </c>
      <c r="E8" s="147" t="s">
        <v>5</v>
      </c>
      <c r="F8" s="147" t="s">
        <v>6</v>
      </c>
      <c r="G8" s="149" t="s">
        <v>7</v>
      </c>
      <c r="H8" s="151" t="s">
        <v>8</v>
      </c>
      <c r="I8" s="155" t="s">
        <v>36</v>
      </c>
      <c r="J8" s="156"/>
      <c r="K8" s="156" t="s">
        <v>10</v>
      </c>
      <c r="L8" s="156" t="s">
        <v>11</v>
      </c>
      <c r="M8" s="156"/>
      <c r="N8" s="158" t="s">
        <v>12</v>
      </c>
      <c r="O8" s="27" t="s">
        <v>13</v>
      </c>
      <c r="P8" s="126" t="s">
        <v>9</v>
      </c>
    </row>
    <row r="9" spans="1:16" ht="26.25" thickBot="1" x14ac:dyDescent="0.3">
      <c r="A9" s="144"/>
      <c r="B9" s="154"/>
      <c r="C9" s="146"/>
      <c r="D9" s="148"/>
      <c r="E9" s="148"/>
      <c r="F9" s="148"/>
      <c r="G9" s="150"/>
      <c r="H9" s="152"/>
      <c r="I9" s="34" t="s">
        <v>14</v>
      </c>
      <c r="J9" s="107" t="s">
        <v>15</v>
      </c>
      <c r="K9" s="157"/>
      <c r="L9" s="107" t="s">
        <v>14</v>
      </c>
      <c r="M9" s="107" t="s">
        <v>15</v>
      </c>
      <c r="N9" s="159"/>
      <c r="O9" s="30"/>
      <c r="P9" s="127"/>
    </row>
    <row r="10" spans="1:16" ht="15.75" thickBot="1" x14ac:dyDescent="0.3">
      <c r="A10" s="35">
        <v>1</v>
      </c>
      <c r="B10" s="36"/>
      <c r="C10" s="37">
        <v>2</v>
      </c>
      <c r="D10" s="38">
        <v>3</v>
      </c>
      <c r="E10" s="38">
        <v>4</v>
      </c>
      <c r="F10" s="38">
        <v>5</v>
      </c>
      <c r="G10" s="39">
        <v>6</v>
      </c>
      <c r="H10" s="21">
        <v>7</v>
      </c>
      <c r="I10" s="22">
        <v>8</v>
      </c>
      <c r="J10" s="23">
        <v>9</v>
      </c>
      <c r="K10" s="23">
        <v>10</v>
      </c>
      <c r="L10" s="23">
        <v>11</v>
      </c>
      <c r="M10" s="23">
        <v>12</v>
      </c>
      <c r="N10" s="24">
        <v>13</v>
      </c>
      <c r="O10" s="40"/>
      <c r="P10" s="128"/>
    </row>
    <row r="11" spans="1:16" s="48" customFormat="1" ht="27" customHeight="1" x14ac:dyDescent="0.25">
      <c r="A11" s="41">
        <v>1</v>
      </c>
      <c r="B11" s="42"/>
      <c r="C11" s="43" t="s">
        <v>61</v>
      </c>
      <c r="D11" s="44" t="s">
        <v>60</v>
      </c>
      <c r="E11" s="45"/>
      <c r="F11" s="45"/>
      <c r="G11" s="46"/>
      <c r="H11" s="11"/>
      <c r="I11" s="92"/>
      <c r="J11" s="93"/>
      <c r="K11" s="17"/>
      <c r="L11" s="12"/>
      <c r="M11" s="12"/>
      <c r="N11" s="13"/>
      <c r="O11" s="47"/>
      <c r="P11" s="97"/>
    </row>
    <row r="12" spans="1:16" s="56" customFormat="1" ht="38.25" x14ac:dyDescent="0.25">
      <c r="A12" s="49">
        <v>2</v>
      </c>
      <c r="B12" s="50" t="s">
        <v>43</v>
      </c>
      <c r="C12" s="51" t="s">
        <v>58</v>
      </c>
      <c r="D12" s="52" t="s">
        <v>59</v>
      </c>
      <c r="E12" s="53" t="s">
        <v>16</v>
      </c>
      <c r="F12" s="53" t="s">
        <v>18</v>
      </c>
      <c r="G12" s="54">
        <v>1</v>
      </c>
      <c r="H12" s="18">
        <f>H13</f>
        <v>1</v>
      </c>
      <c r="I12" s="94"/>
      <c r="J12" s="95"/>
      <c r="K12" s="19">
        <f>J12</f>
        <v>0</v>
      </c>
      <c r="L12" s="19"/>
      <c r="M12" s="19">
        <f>H12*J12</f>
        <v>0</v>
      </c>
      <c r="N12" s="20">
        <f>M12</f>
        <v>0</v>
      </c>
      <c r="O12" s="55"/>
      <c r="P12" s="98" t="s">
        <v>48</v>
      </c>
    </row>
    <row r="13" spans="1:16" s="64" customFormat="1" ht="38.25" x14ac:dyDescent="0.25">
      <c r="A13" s="57">
        <v>3</v>
      </c>
      <c r="B13" s="58" t="s">
        <v>44</v>
      </c>
      <c r="C13" s="59"/>
      <c r="D13" s="60" t="s">
        <v>69</v>
      </c>
      <c r="E13" s="61" t="s">
        <v>17</v>
      </c>
      <c r="F13" s="61" t="s">
        <v>18</v>
      </c>
      <c r="G13" s="62">
        <v>1</v>
      </c>
      <c r="H13" s="8">
        <v>1</v>
      </c>
      <c r="I13" s="9"/>
      <c r="J13" s="10"/>
      <c r="K13" s="6">
        <f>I13</f>
        <v>0</v>
      </c>
      <c r="L13" s="6">
        <f>H13*I13</f>
        <v>0</v>
      </c>
      <c r="M13" s="6"/>
      <c r="N13" s="7">
        <f>L13</f>
        <v>0</v>
      </c>
      <c r="O13" s="63"/>
      <c r="P13" s="99"/>
    </row>
    <row r="14" spans="1:16" s="56" customFormat="1" ht="38.25" x14ac:dyDescent="0.25">
      <c r="A14" s="49">
        <v>4</v>
      </c>
      <c r="B14" s="50" t="s">
        <v>43</v>
      </c>
      <c r="C14" s="51" t="s">
        <v>63</v>
      </c>
      <c r="D14" s="52" t="s">
        <v>62</v>
      </c>
      <c r="E14" s="53" t="s">
        <v>16</v>
      </c>
      <c r="F14" s="53" t="s">
        <v>70</v>
      </c>
      <c r="G14" s="54">
        <v>1</v>
      </c>
      <c r="H14" s="18">
        <f>ROUND(2.94+2.25+4.08+4.08+3.97+50.85+47.46+1.35+8.37,2)</f>
        <v>125.35</v>
      </c>
      <c r="I14" s="94"/>
      <c r="J14" s="95"/>
      <c r="K14" s="19">
        <f>J14</f>
        <v>0</v>
      </c>
      <c r="L14" s="19"/>
      <c r="M14" s="19">
        <f>H14*J14</f>
        <v>0</v>
      </c>
      <c r="N14" s="20">
        <f>M14</f>
        <v>0</v>
      </c>
      <c r="O14" s="55"/>
      <c r="P14" s="98" t="s">
        <v>46</v>
      </c>
    </row>
    <row r="15" spans="1:16" s="64" customFormat="1" ht="76.5" x14ac:dyDescent="0.25">
      <c r="A15" s="57">
        <v>5</v>
      </c>
      <c r="B15" s="58" t="s">
        <v>44</v>
      </c>
      <c r="C15" s="59"/>
      <c r="D15" s="65" t="s">
        <v>117</v>
      </c>
      <c r="E15" s="61" t="s">
        <v>17</v>
      </c>
      <c r="F15" s="61" t="s">
        <v>71</v>
      </c>
      <c r="G15" s="62">
        <v>1</v>
      </c>
      <c r="H15" s="103">
        <f>ROUND((0.0017+0.03925*0.015*1)*2.94,3)</f>
        <v>7.0000000000000001E-3</v>
      </c>
      <c r="I15" s="9"/>
      <c r="J15" s="96"/>
      <c r="K15" s="6">
        <f>I15</f>
        <v>0</v>
      </c>
      <c r="L15" s="6">
        <f t="shared" ref="L15:L23" si="0">H15*I15</f>
        <v>0</v>
      </c>
      <c r="M15" s="6"/>
      <c r="N15" s="7">
        <f>L15</f>
        <v>0</v>
      </c>
      <c r="O15" s="63"/>
      <c r="P15" s="99"/>
    </row>
    <row r="16" spans="1:16" s="64" customFormat="1" ht="76.5" x14ac:dyDescent="0.25">
      <c r="A16" s="57">
        <v>6</v>
      </c>
      <c r="B16" s="58" t="s">
        <v>44</v>
      </c>
      <c r="C16" s="59"/>
      <c r="D16" s="65" t="s">
        <v>118</v>
      </c>
      <c r="E16" s="61" t="s">
        <v>17</v>
      </c>
      <c r="F16" s="61" t="s">
        <v>71</v>
      </c>
      <c r="G16" s="62">
        <v>1</v>
      </c>
      <c r="H16" s="103">
        <f>ROUND((0.0017+0.03925*0.015*1)*2.25,3)</f>
        <v>5.0000000000000001E-3</v>
      </c>
      <c r="I16" s="9"/>
      <c r="J16" s="96"/>
      <c r="K16" s="6">
        <f t="shared" ref="K16:K23" si="1">I16</f>
        <v>0</v>
      </c>
      <c r="L16" s="6">
        <f t="shared" si="0"/>
        <v>0</v>
      </c>
      <c r="M16" s="6"/>
      <c r="N16" s="7">
        <f t="shared" ref="N16:N23" si="2">L16</f>
        <v>0</v>
      </c>
      <c r="O16" s="63"/>
      <c r="P16" s="99"/>
    </row>
    <row r="17" spans="1:16" s="64" customFormat="1" ht="102" x14ac:dyDescent="0.25">
      <c r="A17" s="57">
        <v>7</v>
      </c>
      <c r="B17" s="58" t="s">
        <v>44</v>
      </c>
      <c r="C17" s="59"/>
      <c r="D17" s="65" t="s">
        <v>98</v>
      </c>
      <c r="E17" s="61" t="s">
        <v>17</v>
      </c>
      <c r="F17" s="61" t="s">
        <v>71</v>
      </c>
      <c r="G17" s="62">
        <v>1</v>
      </c>
      <c r="H17" s="103">
        <f>ROUND((0.0017+0.0017+1.35*4*0.00139+1.35*6*0.001075+0.03925*0.015*4)*4.08,3)</f>
        <v>0.09</v>
      </c>
      <c r="I17" s="9"/>
      <c r="J17" s="96"/>
      <c r="K17" s="6">
        <f t="shared" si="1"/>
        <v>0</v>
      </c>
      <c r="L17" s="6">
        <f t="shared" si="0"/>
        <v>0</v>
      </c>
      <c r="M17" s="6"/>
      <c r="N17" s="7">
        <f t="shared" si="2"/>
        <v>0</v>
      </c>
      <c r="O17" s="63"/>
      <c r="P17" s="99"/>
    </row>
    <row r="18" spans="1:16" s="64" customFormat="1" ht="102" x14ac:dyDescent="0.25">
      <c r="A18" s="57">
        <v>8</v>
      </c>
      <c r="B18" s="58" t="s">
        <v>44</v>
      </c>
      <c r="C18" s="59"/>
      <c r="D18" s="65" t="s">
        <v>119</v>
      </c>
      <c r="E18" s="61" t="s">
        <v>17</v>
      </c>
      <c r="F18" s="61" t="s">
        <v>71</v>
      </c>
      <c r="G18" s="62">
        <v>1</v>
      </c>
      <c r="H18" s="103">
        <f>ROUND((0.0017+0.0017+1.35*4*0.00139+1.35*6*0.001075+0.03925*0.015*4)*4.08,3)</f>
        <v>0.09</v>
      </c>
      <c r="I18" s="9"/>
      <c r="J18" s="96"/>
      <c r="K18" s="6">
        <f t="shared" ref="K18" si="3">I18</f>
        <v>0</v>
      </c>
      <c r="L18" s="6">
        <f t="shared" si="0"/>
        <v>0</v>
      </c>
      <c r="M18" s="6"/>
      <c r="N18" s="7">
        <f t="shared" ref="N18" si="4">L18</f>
        <v>0</v>
      </c>
      <c r="O18" s="63"/>
      <c r="P18" s="99"/>
    </row>
    <row r="19" spans="1:16" s="64" customFormat="1" ht="102" x14ac:dyDescent="0.25">
      <c r="A19" s="57">
        <v>9</v>
      </c>
      <c r="B19" s="58" t="s">
        <v>44</v>
      </c>
      <c r="C19" s="59"/>
      <c r="D19" s="65" t="s">
        <v>120</v>
      </c>
      <c r="E19" s="61" t="s">
        <v>17</v>
      </c>
      <c r="F19" s="61" t="s">
        <v>71</v>
      </c>
      <c r="G19" s="62">
        <v>1</v>
      </c>
      <c r="H19" s="103">
        <f>ROUND((0.0017+0.0017+1.35*4*0.00139+1.35*6*0.001075+0.03925*0.015*4)*3.97,3)</f>
        <v>8.6999999999999994E-2</v>
      </c>
      <c r="I19" s="9"/>
      <c r="J19" s="96"/>
      <c r="K19" s="6">
        <f t="shared" si="1"/>
        <v>0</v>
      </c>
      <c r="L19" s="6">
        <f t="shared" si="0"/>
        <v>0</v>
      </c>
      <c r="M19" s="6"/>
      <c r="N19" s="7">
        <f t="shared" si="2"/>
        <v>0</v>
      </c>
      <c r="O19" s="63"/>
      <c r="P19" s="99"/>
    </row>
    <row r="20" spans="1:16" s="64" customFormat="1" ht="102" x14ac:dyDescent="0.25">
      <c r="A20" s="57">
        <v>10</v>
      </c>
      <c r="B20" s="58" t="s">
        <v>44</v>
      </c>
      <c r="C20" s="59"/>
      <c r="D20" s="65" t="s">
        <v>121</v>
      </c>
      <c r="E20" s="61" t="s">
        <v>17</v>
      </c>
      <c r="F20" s="61" t="s">
        <v>71</v>
      </c>
      <c r="G20" s="62">
        <v>1</v>
      </c>
      <c r="H20" s="103">
        <f>ROUND((0.0017+0.0017+1.35*4*0.00139+1.35*6*0.001075+0.03925*0.015*4)*50.85,3)</f>
        <v>1.117</v>
      </c>
      <c r="I20" s="9"/>
      <c r="J20" s="96"/>
      <c r="K20" s="6">
        <f t="shared" si="1"/>
        <v>0</v>
      </c>
      <c r="L20" s="6">
        <f t="shared" si="0"/>
        <v>0</v>
      </c>
      <c r="M20" s="6"/>
      <c r="N20" s="7">
        <f t="shared" si="2"/>
        <v>0</v>
      </c>
      <c r="O20" s="63"/>
      <c r="P20" s="99"/>
    </row>
    <row r="21" spans="1:16" s="64" customFormat="1" ht="102" x14ac:dyDescent="0.25">
      <c r="A21" s="57">
        <v>11</v>
      </c>
      <c r="B21" s="58" t="s">
        <v>44</v>
      </c>
      <c r="C21" s="59"/>
      <c r="D21" s="65" t="s">
        <v>107</v>
      </c>
      <c r="E21" s="61" t="s">
        <v>17</v>
      </c>
      <c r="F21" s="61" t="s">
        <v>71</v>
      </c>
      <c r="G21" s="62">
        <v>1</v>
      </c>
      <c r="H21" s="103">
        <f>ROUND((0.0017+0.0017+1.35*4*0.00139+1.35*6*0.001075+0.03925*0.015*4)*47.46,3)</f>
        <v>1.0429999999999999</v>
      </c>
      <c r="I21" s="9"/>
      <c r="J21" s="96"/>
      <c r="K21" s="6">
        <f t="shared" si="1"/>
        <v>0</v>
      </c>
      <c r="L21" s="6">
        <f t="shared" si="0"/>
        <v>0</v>
      </c>
      <c r="M21" s="6"/>
      <c r="N21" s="7">
        <f t="shared" si="2"/>
        <v>0</v>
      </c>
      <c r="O21" s="63"/>
      <c r="P21" s="99"/>
    </row>
    <row r="22" spans="1:16" s="64" customFormat="1" ht="102" x14ac:dyDescent="0.25">
      <c r="A22" s="57">
        <v>12</v>
      </c>
      <c r="B22" s="58" t="s">
        <v>44</v>
      </c>
      <c r="C22" s="59"/>
      <c r="D22" s="65" t="s">
        <v>122</v>
      </c>
      <c r="E22" s="61" t="s">
        <v>17</v>
      </c>
      <c r="F22" s="61" t="s">
        <v>71</v>
      </c>
      <c r="G22" s="62">
        <v>1</v>
      </c>
      <c r="H22" s="103">
        <f>ROUND((0.0017+0.0017+1.35*4*0.00139+1.35*6*0.001075+0.03925*0.015*4)*1.35,3)</f>
        <v>0.03</v>
      </c>
      <c r="I22" s="9"/>
      <c r="J22" s="96"/>
      <c r="K22" s="6">
        <f t="shared" si="1"/>
        <v>0</v>
      </c>
      <c r="L22" s="6">
        <f t="shared" si="0"/>
        <v>0</v>
      </c>
      <c r="M22" s="6"/>
      <c r="N22" s="7">
        <f t="shared" si="2"/>
        <v>0</v>
      </c>
      <c r="O22" s="63"/>
      <c r="P22" s="99"/>
    </row>
    <row r="23" spans="1:16" s="64" customFormat="1" ht="102" x14ac:dyDescent="0.25">
      <c r="A23" s="57">
        <v>13</v>
      </c>
      <c r="B23" s="58" t="s">
        <v>44</v>
      </c>
      <c r="C23" s="59"/>
      <c r="D23" s="65" t="s">
        <v>123</v>
      </c>
      <c r="E23" s="61" t="s">
        <v>17</v>
      </c>
      <c r="F23" s="61" t="s">
        <v>71</v>
      </c>
      <c r="G23" s="62">
        <v>1</v>
      </c>
      <c r="H23" s="103">
        <f>ROUND((0.0017+1.35*2*0.001075)*8.37,3)</f>
        <v>3.9E-2</v>
      </c>
      <c r="I23" s="9"/>
      <c r="J23" s="96"/>
      <c r="K23" s="6">
        <f t="shared" si="1"/>
        <v>0</v>
      </c>
      <c r="L23" s="6">
        <f t="shared" si="0"/>
        <v>0</v>
      </c>
      <c r="M23" s="6"/>
      <c r="N23" s="7">
        <f t="shared" si="2"/>
        <v>0</v>
      </c>
      <c r="O23" s="63"/>
      <c r="P23" s="99"/>
    </row>
    <row r="24" spans="1:16" s="56" customFormat="1" ht="38.25" x14ac:dyDescent="0.25">
      <c r="A24" s="49">
        <v>14</v>
      </c>
      <c r="B24" s="50" t="s">
        <v>43</v>
      </c>
      <c r="C24" s="51" t="s">
        <v>63</v>
      </c>
      <c r="D24" s="52" t="s">
        <v>62</v>
      </c>
      <c r="E24" s="53" t="s">
        <v>16</v>
      </c>
      <c r="F24" s="53" t="s">
        <v>70</v>
      </c>
      <c r="G24" s="54">
        <v>1</v>
      </c>
      <c r="H24" s="18">
        <f>SUM(H25:H26)</f>
        <v>45.74</v>
      </c>
      <c r="I24" s="94"/>
      <c r="J24" s="95"/>
      <c r="K24" s="19">
        <f>J24</f>
        <v>0</v>
      </c>
      <c r="L24" s="19"/>
      <c r="M24" s="19">
        <f>H24*J24</f>
        <v>0</v>
      </c>
      <c r="N24" s="20">
        <f>M24</f>
        <v>0</v>
      </c>
      <c r="O24" s="55"/>
      <c r="P24" s="98" t="s">
        <v>47</v>
      </c>
    </row>
    <row r="25" spans="1:16" s="64" customFormat="1" ht="38.25" x14ac:dyDescent="0.25">
      <c r="A25" s="57">
        <v>15</v>
      </c>
      <c r="B25" s="58" t="s">
        <v>44</v>
      </c>
      <c r="C25" s="59"/>
      <c r="D25" s="60" t="s">
        <v>115</v>
      </c>
      <c r="E25" s="61" t="s">
        <v>17</v>
      </c>
      <c r="F25" s="61" t="s">
        <v>70</v>
      </c>
      <c r="G25" s="62">
        <v>1</v>
      </c>
      <c r="H25" s="8">
        <f>ROUND(2*(2.79+1.565),2)</f>
        <v>8.7100000000000009</v>
      </c>
      <c r="I25" s="9"/>
      <c r="J25" s="10"/>
      <c r="K25" s="6">
        <f t="shared" ref="K25:K26" si="5">I25</f>
        <v>0</v>
      </c>
      <c r="L25" s="6">
        <f>H25*I25</f>
        <v>0</v>
      </c>
      <c r="M25" s="6"/>
      <c r="N25" s="7">
        <f t="shared" ref="N25:N26" si="6">L25</f>
        <v>0</v>
      </c>
      <c r="O25" s="63"/>
      <c r="P25" s="99"/>
    </row>
    <row r="26" spans="1:16" s="64" customFormat="1" ht="38.25" x14ac:dyDescent="0.25">
      <c r="A26" s="57">
        <v>16</v>
      </c>
      <c r="B26" s="58" t="s">
        <v>44</v>
      </c>
      <c r="C26" s="59"/>
      <c r="D26" s="60" t="s">
        <v>124</v>
      </c>
      <c r="E26" s="61" t="s">
        <v>17</v>
      </c>
      <c r="F26" s="61" t="s">
        <v>70</v>
      </c>
      <c r="G26" s="62">
        <v>1</v>
      </c>
      <c r="H26" s="8">
        <f>ROUND(14*2.645,2)</f>
        <v>37.03</v>
      </c>
      <c r="I26" s="9"/>
      <c r="J26" s="10"/>
      <c r="K26" s="6">
        <f t="shared" si="5"/>
        <v>0</v>
      </c>
      <c r="L26" s="6">
        <f t="shared" ref="L26" si="7">H26*I26</f>
        <v>0</v>
      </c>
      <c r="M26" s="6"/>
      <c r="N26" s="7">
        <f t="shared" si="6"/>
        <v>0</v>
      </c>
      <c r="O26" s="63"/>
      <c r="P26" s="99"/>
    </row>
    <row r="27" spans="1:16" s="56" customFormat="1" ht="51" x14ac:dyDescent="0.25">
      <c r="A27" s="41">
        <v>17</v>
      </c>
      <c r="B27" s="42" t="s">
        <v>43</v>
      </c>
      <c r="C27" s="43" t="s">
        <v>61</v>
      </c>
      <c r="D27" s="44" t="s">
        <v>49</v>
      </c>
      <c r="E27" s="45" t="s">
        <v>16</v>
      </c>
      <c r="F27" s="45" t="s">
        <v>18</v>
      </c>
      <c r="G27" s="46">
        <v>1</v>
      </c>
      <c r="H27" s="11">
        <f>H28</f>
        <v>1</v>
      </c>
      <c r="I27" s="92"/>
      <c r="J27" s="93"/>
      <c r="K27" s="17">
        <f>J27</f>
        <v>0</v>
      </c>
      <c r="L27" s="12"/>
      <c r="M27" s="12">
        <f>H27*J27</f>
        <v>0</v>
      </c>
      <c r="N27" s="13">
        <f>M27</f>
        <v>0</v>
      </c>
      <c r="O27" s="55"/>
      <c r="P27" s="98" t="s">
        <v>49</v>
      </c>
    </row>
    <row r="28" spans="1:16" s="64" customFormat="1" ht="26.25" thickBot="1" x14ac:dyDescent="0.3">
      <c r="A28" s="57">
        <v>18</v>
      </c>
      <c r="B28" s="58" t="s">
        <v>44</v>
      </c>
      <c r="C28" s="59"/>
      <c r="D28" s="60" t="s">
        <v>50</v>
      </c>
      <c r="E28" s="61" t="s">
        <v>17</v>
      </c>
      <c r="F28" s="61" t="s">
        <v>18</v>
      </c>
      <c r="G28" s="62">
        <v>1</v>
      </c>
      <c r="H28" s="8">
        <v>1</v>
      </c>
      <c r="I28" s="9"/>
      <c r="J28" s="10"/>
      <c r="K28" s="6">
        <f>I28</f>
        <v>0</v>
      </c>
      <c r="L28" s="6">
        <f>H28*I28</f>
        <v>0</v>
      </c>
      <c r="M28" s="6"/>
      <c r="N28" s="7">
        <f>L28</f>
        <v>0</v>
      </c>
      <c r="O28" s="63"/>
      <c r="P28" s="100"/>
    </row>
    <row r="29" spans="1:16" x14ac:dyDescent="0.25">
      <c r="A29" s="25"/>
      <c r="B29" s="16"/>
      <c r="C29" s="1"/>
      <c r="D29" s="2" t="s">
        <v>19</v>
      </c>
      <c r="E29" s="1"/>
      <c r="F29" s="1"/>
      <c r="G29" s="1"/>
      <c r="H29" s="15"/>
      <c r="I29" s="14"/>
      <c r="J29" s="3"/>
      <c r="K29" s="3"/>
      <c r="L29" s="4">
        <f>SUM(L11:L28)</f>
        <v>0</v>
      </c>
      <c r="M29" s="4">
        <f>SUM(M11:M28)</f>
        <v>0</v>
      </c>
      <c r="N29" s="5">
        <f>SUM(N11:N28)</f>
        <v>0</v>
      </c>
      <c r="O29" s="30"/>
      <c r="P29" s="33"/>
    </row>
    <row r="30" spans="1:16" x14ac:dyDescent="0.25">
      <c r="A30" s="131"/>
      <c r="B30" s="132"/>
      <c r="C30" s="69"/>
      <c r="D30" s="2" t="s">
        <v>35</v>
      </c>
      <c r="E30" s="1"/>
      <c r="F30" s="1"/>
      <c r="G30" s="1"/>
      <c r="H30" s="70"/>
      <c r="I30" s="71"/>
      <c r="J30" s="72"/>
      <c r="K30" s="72"/>
      <c r="L30" s="4"/>
      <c r="M30" s="4"/>
      <c r="N30" s="5">
        <f>N29/1.22*0.22</f>
        <v>0</v>
      </c>
      <c r="O30" s="30"/>
      <c r="P30" s="33"/>
    </row>
    <row r="31" spans="1:16" x14ac:dyDescent="0.25">
      <c r="A31" s="73" t="s">
        <v>20</v>
      </c>
      <c r="B31" s="74"/>
      <c r="C31" s="74"/>
      <c r="D31" s="74"/>
      <c r="E31" s="74"/>
      <c r="F31" s="74"/>
      <c r="G31" s="74"/>
      <c r="H31" s="75"/>
      <c r="I31" s="76"/>
      <c r="J31" s="76"/>
      <c r="K31" s="77"/>
      <c r="L31" s="77"/>
      <c r="M31" s="77"/>
      <c r="N31" s="78"/>
      <c r="O31" s="30"/>
      <c r="P31" s="33"/>
    </row>
    <row r="32" spans="1:16" x14ac:dyDescent="0.25">
      <c r="A32" s="137">
        <v>1</v>
      </c>
      <c r="B32" s="138"/>
      <c r="C32" s="79"/>
      <c r="D32" s="80" t="s">
        <v>21</v>
      </c>
      <c r="E32" s="108"/>
      <c r="F32" s="109"/>
      <c r="G32" s="109"/>
      <c r="H32" s="110"/>
      <c r="I32" s="111"/>
      <c r="J32" s="112"/>
      <c r="K32" s="113"/>
      <c r="L32" s="113"/>
      <c r="M32" s="113"/>
      <c r="N32" s="114"/>
      <c r="O32" s="30"/>
      <c r="P32" s="30"/>
    </row>
    <row r="33" spans="1:16" ht="30" customHeight="1" x14ac:dyDescent="0.25">
      <c r="A33" s="135">
        <v>2</v>
      </c>
      <c r="B33" s="136"/>
      <c r="C33" s="104"/>
      <c r="D33" s="81" t="s">
        <v>22</v>
      </c>
      <c r="E33" s="115"/>
      <c r="F33" s="116"/>
      <c r="G33" s="116"/>
      <c r="H33" s="117"/>
      <c r="I33" s="111"/>
      <c r="J33" s="112"/>
      <c r="K33" s="113"/>
      <c r="L33" s="113"/>
      <c r="M33" s="113"/>
      <c r="N33" s="114"/>
      <c r="O33" s="30"/>
      <c r="P33" s="33"/>
    </row>
    <row r="34" spans="1:16" x14ac:dyDescent="0.25">
      <c r="A34" s="135">
        <v>3</v>
      </c>
      <c r="B34" s="136"/>
      <c r="C34" s="79"/>
      <c r="D34" s="81" t="s">
        <v>23</v>
      </c>
      <c r="E34" s="115"/>
      <c r="F34" s="116"/>
      <c r="G34" s="116"/>
      <c r="H34" s="117"/>
      <c r="I34" s="111"/>
      <c r="J34" s="112"/>
      <c r="K34" s="113"/>
      <c r="L34" s="113"/>
      <c r="M34" s="113"/>
      <c r="N34" s="114"/>
      <c r="O34" s="30"/>
      <c r="P34" s="33"/>
    </row>
    <row r="35" spans="1:16" ht="25.5" x14ac:dyDescent="0.25">
      <c r="A35" s="135">
        <v>4</v>
      </c>
      <c r="B35" s="136"/>
      <c r="C35" s="104"/>
      <c r="D35" s="81" t="s">
        <v>24</v>
      </c>
      <c r="E35" s="115"/>
      <c r="F35" s="116"/>
      <c r="G35" s="116"/>
      <c r="H35" s="117"/>
      <c r="I35" s="111"/>
      <c r="J35" s="112"/>
      <c r="K35" s="113"/>
      <c r="L35" s="113"/>
      <c r="M35" s="113"/>
      <c r="N35" s="114"/>
      <c r="O35" s="30"/>
      <c r="P35" s="33"/>
    </row>
    <row r="36" spans="1:16" ht="25.5" x14ac:dyDescent="0.25">
      <c r="A36" s="135">
        <v>5</v>
      </c>
      <c r="B36" s="136"/>
      <c r="C36" s="79"/>
      <c r="D36" s="81" t="s">
        <v>25</v>
      </c>
      <c r="E36" s="115"/>
      <c r="F36" s="116"/>
      <c r="G36" s="116"/>
      <c r="H36" s="117"/>
      <c r="I36" s="111"/>
      <c r="J36" s="112"/>
      <c r="K36" s="113"/>
      <c r="L36" s="113"/>
      <c r="M36" s="113"/>
      <c r="N36" s="114"/>
      <c r="O36" s="30"/>
      <c r="P36" s="30"/>
    </row>
    <row r="37" spans="1:16" x14ac:dyDescent="0.25">
      <c r="A37" s="135">
        <v>6</v>
      </c>
      <c r="B37" s="136"/>
      <c r="C37" s="104"/>
      <c r="D37" s="81" t="s">
        <v>26</v>
      </c>
      <c r="E37" s="115"/>
      <c r="F37" s="116"/>
      <c r="G37" s="116"/>
      <c r="H37" s="117"/>
      <c r="I37" s="111"/>
      <c r="J37" s="112"/>
      <c r="K37" s="113"/>
      <c r="L37" s="113"/>
      <c r="M37" s="113"/>
      <c r="N37" s="114"/>
      <c r="O37" s="30"/>
      <c r="P37" s="33"/>
    </row>
    <row r="38" spans="1:16" x14ac:dyDescent="0.25">
      <c r="A38" s="135">
        <v>7</v>
      </c>
      <c r="B38" s="136"/>
      <c r="C38" s="79"/>
      <c r="D38" s="81" t="s">
        <v>27</v>
      </c>
      <c r="E38" s="115"/>
      <c r="F38" s="116"/>
      <c r="G38" s="116"/>
      <c r="H38" s="117"/>
      <c r="I38" s="111"/>
      <c r="J38" s="112"/>
      <c r="K38" s="113"/>
      <c r="L38" s="113"/>
      <c r="M38" s="113"/>
      <c r="N38" s="114"/>
      <c r="O38" s="30"/>
      <c r="P38" s="33"/>
    </row>
    <row r="39" spans="1:16" x14ac:dyDescent="0.25">
      <c r="A39" s="135">
        <v>8</v>
      </c>
      <c r="B39" s="136"/>
      <c r="C39" s="104"/>
      <c r="D39" s="81" t="s">
        <v>28</v>
      </c>
      <c r="E39" s="115"/>
      <c r="F39" s="116"/>
      <c r="G39" s="116"/>
      <c r="H39" s="117"/>
      <c r="I39" s="111"/>
      <c r="J39" s="112"/>
      <c r="K39" s="113"/>
      <c r="L39" s="113"/>
      <c r="M39" s="113"/>
      <c r="N39" s="114"/>
      <c r="O39" s="30"/>
      <c r="P39" s="33"/>
    </row>
    <row r="40" spans="1:16" x14ac:dyDescent="0.25">
      <c r="A40" s="135">
        <v>9</v>
      </c>
      <c r="B40" s="136"/>
      <c r="C40" s="79"/>
      <c r="D40" s="81" t="s">
        <v>29</v>
      </c>
      <c r="E40" s="115"/>
      <c r="F40" s="116"/>
      <c r="G40" s="116"/>
      <c r="H40" s="117"/>
      <c r="I40" s="111"/>
      <c r="J40" s="112"/>
      <c r="K40" s="113"/>
      <c r="L40" s="113"/>
      <c r="M40" s="113"/>
      <c r="N40" s="114"/>
      <c r="O40" s="30"/>
      <c r="P40" s="30"/>
    </row>
    <row r="41" spans="1:16" ht="25.5" x14ac:dyDescent="0.25">
      <c r="A41" s="135">
        <v>10</v>
      </c>
      <c r="B41" s="136"/>
      <c r="C41" s="104"/>
      <c r="D41" s="82" t="s">
        <v>30</v>
      </c>
      <c r="E41" s="118"/>
      <c r="F41" s="116"/>
      <c r="G41" s="116"/>
      <c r="H41" s="117"/>
      <c r="I41" s="111"/>
      <c r="J41" s="112"/>
      <c r="K41" s="113"/>
      <c r="L41" s="113"/>
      <c r="M41" s="113"/>
      <c r="N41" s="114"/>
      <c r="O41" s="30"/>
      <c r="P41" s="33"/>
    </row>
    <row r="42" spans="1:16" ht="15.75" thickBot="1" x14ac:dyDescent="0.3">
      <c r="A42" s="133">
        <v>11</v>
      </c>
      <c r="B42" s="134"/>
      <c r="C42" s="83"/>
      <c r="D42" s="84" t="s">
        <v>31</v>
      </c>
      <c r="E42" s="119"/>
      <c r="F42" s="120"/>
      <c r="G42" s="120"/>
      <c r="H42" s="121"/>
      <c r="I42" s="122"/>
      <c r="J42" s="123"/>
      <c r="K42" s="124"/>
      <c r="L42" s="124"/>
      <c r="M42" s="124"/>
      <c r="N42" s="125"/>
      <c r="O42" s="30"/>
      <c r="P42" s="33"/>
    </row>
    <row r="43" spans="1:16" x14ac:dyDescent="0.25">
      <c r="A43" s="85"/>
      <c r="B43" s="85"/>
      <c r="C43" s="86"/>
      <c r="D43" s="87"/>
      <c r="E43" s="85"/>
      <c r="F43" s="86"/>
      <c r="G43" s="86"/>
      <c r="H43" s="88"/>
      <c r="I43" s="86"/>
      <c r="J43" s="86"/>
      <c r="K43" s="89"/>
      <c r="L43" s="86"/>
      <c r="M43" s="86"/>
      <c r="N43" s="86"/>
      <c r="O43" s="30"/>
      <c r="P43" s="33"/>
    </row>
    <row r="44" spans="1:16" ht="96" customHeight="1" x14ac:dyDescent="0.25">
      <c r="A44" s="129" t="s">
        <v>65</v>
      </c>
      <c r="B44" s="129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30"/>
      <c r="P44" s="30"/>
    </row>
    <row r="45" spans="1:16" ht="47.25" customHeight="1" x14ac:dyDescent="0.25">
      <c r="A45" s="26"/>
      <c r="B45" s="26"/>
      <c r="C45" s="26"/>
      <c r="D45" s="27" t="s">
        <v>32</v>
      </c>
      <c r="E45" s="27"/>
      <c r="F45" s="27"/>
      <c r="G45" s="27"/>
      <c r="H45" s="27"/>
      <c r="I45" s="27"/>
      <c r="J45" s="28"/>
      <c r="K45" s="28"/>
      <c r="L45" s="90"/>
      <c r="M45" s="28"/>
      <c r="N45" s="91"/>
      <c r="O45" s="30"/>
      <c r="P45" s="33"/>
    </row>
  </sheetData>
  <sheetProtection autoFilter="0"/>
  <autoFilter ref="A10:N42" xr:uid="{00000000-0001-0000-0000-000000000000}"/>
  <mergeCells count="29">
    <mergeCell ref="A44:N44"/>
    <mergeCell ref="A37:B37"/>
    <mergeCell ref="A38:B38"/>
    <mergeCell ref="A39:B39"/>
    <mergeCell ref="A40:B40"/>
    <mergeCell ref="A41:B41"/>
    <mergeCell ref="A42:B42"/>
    <mergeCell ref="A36:B36"/>
    <mergeCell ref="H8:H9"/>
    <mergeCell ref="I8:J8"/>
    <mergeCell ref="K8:K9"/>
    <mergeCell ref="L8:M8"/>
    <mergeCell ref="A30:B30"/>
    <mergeCell ref="A32:B32"/>
    <mergeCell ref="A33:B33"/>
    <mergeCell ref="A34:B34"/>
    <mergeCell ref="A35:B35"/>
    <mergeCell ref="N8:N9"/>
    <mergeCell ref="P8:P10"/>
    <mergeCell ref="A3:N3"/>
    <mergeCell ref="A4:N4"/>
    <mergeCell ref="A5:N5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49FEA-E9C7-4F22-899F-17EFD01EC7EA}">
  <dimension ref="A1:P46"/>
  <sheetViews>
    <sheetView zoomScale="90" zoomScaleNormal="90" workbookViewId="0"/>
  </sheetViews>
  <sheetFormatPr defaultColWidth="9.140625" defaultRowHeight="15" x14ac:dyDescent="0.25"/>
  <cols>
    <col min="1" max="1" width="9.5703125" style="48" customWidth="1"/>
    <col min="2" max="2" width="2.7109375" style="48" bestFit="1" customWidth="1"/>
    <col min="3" max="3" width="13.5703125" style="31" bestFit="1" customWidth="1"/>
    <col min="4" max="4" width="42.85546875" style="31" customWidth="1"/>
    <col min="5" max="5" width="17" style="31" customWidth="1"/>
    <col min="6" max="6" width="9.7109375" style="31" customWidth="1"/>
    <col min="7" max="7" width="9.5703125" style="31" customWidth="1"/>
    <col min="8" max="8" width="10.7109375" style="31" customWidth="1"/>
    <col min="9" max="10" width="13.7109375" style="31" customWidth="1"/>
    <col min="11" max="11" width="14.7109375" style="31" customWidth="1"/>
    <col min="12" max="12" width="13.28515625" style="31" customWidth="1"/>
    <col min="13" max="13" width="14.7109375" style="31" customWidth="1"/>
    <col min="14" max="14" width="17.28515625" style="31" customWidth="1"/>
    <col min="15" max="15" width="2.7109375" style="31" customWidth="1"/>
    <col min="16" max="16" width="62.140625" style="31" customWidth="1"/>
    <col min="17" max="16384" width="9.140625" style="31"/>
  </cols>
  <sheetData>
    <row r="1" spans="1:16" x14ac:dyDescent="0.25">
      <c r="A1" s="26"/>
      <c r="B1" s="26"/>
      <c r="C1" s="26"/>
      <c r="D1" s="27"/>
      <c r="E1" s="27"/>
      <c r="F1" s="27"/>
      <c r="G1" s="27"/>
      <c r="H1" s="27"/>
      <c r="I1" s="28"/>
      <c r="J1" s="28"/>
      <c r="K1" s="28"/>
      <c r="L1" s="28"/>
      <c r="M1" s="28"/>
      <c r="N1" s="29" t="s">
        <v>0</v>
      </c>
      <c r="O1" s="30"/>
      <c r="P1" s="30"/>
    </row>
    <row r="2" spans="1:16" x14ac:dyDescent="0.25">
      <c r="A2" s="26"/>
      <c r="B2" s="26"/>
      <c r="C2" s="26"/>
      <c r="D2" s="27"/>
      <c r="E2" s="27"/>
      <c r="F2" s="27"/>
      <c r="G2" s="27"/>
      <c r="H2" s="27"/>
      <c r="I2" s="28"/>
      <c r="J2" s="28"/>
      <c r="K2" s="28"/>
      <c r="L2" s="28"/>
      <c r="M2" s="28"/>
      <c r="N2" s="29" t="s">
        <v>1</v>
      </c>
      <c r="O2" s="30"/>
      <c r="P2" s="30"/>
    </row>
    <row r="3" spans="1:16" ht="18.75" x14ac:dyDescent="0.25">
      <c r="A3" s="139" t="s">
        <v>2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30"/>
      <c r="P3" s="30"/>
    </row>
    <row r="4" spans="1:16" ht="15.75" x14ac:dyDescent="0.25">
      <c r="A4" s="140" t="s">
        <v>45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30"/>
      <c r="P4" s="30"/>
    </row>
    <row r="5" spans="1:16" ht="15.75" x14ac:dyDescent="0.25">
      <c r="A5" s="141" t="s">
        <v>42</v>
      </c>
      <c r="B5" s="141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30"/>
      <c r="P5" s="30"/>
    </row>
    <row r="6" spans="1:16" ht="15.75" x14ac:dyDescent="0.25">
      <c r="A6" s="32"/>
      <c r="B6" s="32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30"/>
      <c r="P6" s="30"/>
    </row>
    <row r="7" spans="1:16" ht="16.5" thickBot="1" x14ac:dyDescent="0.3">
      <c r="A7" s="33"/>
      <c r="B7" s="33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30"/>
      <c r="P7" s="30"/>
    </row>
    <row r="8" spans="1:16" x14ac:dyDescent="0.25">
      <c r="A8" s="143" t="s">
        <v>34</v>
      </c>
      <c r="B8" s="153"/>
      <c r="C8" s="145" t="s">
        <v>3</v>
      </c>
      <c r="D8" s="147" t="s">
        <v>4</v>
      </c>
      <c r="E8" s="147" t="s">
        <v>5</v>
      </c>
      <c r="F8" s="147" t="s">
        <v>6</v>
      </c>
      <c r="G8" s="149" t="s">
        <v>7</v>
      </c>
      <c r="H8" s="151" t="s">
        <v>8</v>
      </c>
      <c r="I8" s="155" t="s">
        <v>36</v>
      </c>
      <c r="J8" s="156"/>
      <c r="K8" s="156" t="s">
        <v>10</v>
      </c>
      <c r="L8" s="156" t="s">
        <v>11</v>
      </c>
      <c r="M8" s="156"/>
      <c r="N8" s="158" t="s">
        <v>12</v>
      </c>
      <c r="O8" s="27" t="s">
        <v>13</v>
      </c>
      <c r="P8" s="126" t="s">
        <v>9</v>
      </c>
    </row>
    <row r="9" spans="1:16" ht="26.25" thickBot="1" x14ac:dyDescent="0.3">
      <c r="A9" s="144"/>
      <c r="B9" s="154"/>
      <c r="C9" s="146"/>
      <c r="D9" s="148"/>
      <c r="E9" s="148"/>
      <c r="F9" s="148"/>
      <c r="G9" s="150"/>
      <c r="H9" s="152"/>
      <c r="I9" s="34" t="s">
        <v>14</v>
      </c>
      <c r="J9" s="107" t="s">
        <v>15</v>
      </c>
      <c r="K9" s="157"/>
      <c r="L9" s="107" t="s">
        <v>14</v>
      </c>
      <c r="M9" s="107" t="s">
        <v>15</v>
      </c>
      <c r="N9" s="159"/>
      <c r="O9" s="30"/>
      <c r="P9" s="127"/>
    </row>
    <row r="10" spans="1:16" ht="15.75" thickBot="1" x14ac:dyDescent="0.3">
      <c r="A10" s="35">
        <v>1</v>
      </c>
      <c r="B10" s="36"/>
      <c r="C10" s="37">
        <v>2</v>
      </c>
      <c r="D10" s="38">
        <v>3</v>
      </c>
      <c r="E10" s="38">
        <v>4</v>
      </c>
      <c r="F10" s="38">
        <v>5</v>
      </c>
      <c r="G10" s="39">
        <v>6</v>
      </c>
      <c r="H10" s="21">
        <v>7</v>
      </c>
      <c r="I10" s="22">
        <v>8</v>
      </c>
      <c r="J10" s="23">
        <v>9</v>
      </c>
      <c r="K10" s="23">
        <v>10</v>
      </c>
      <c r="L10" s="23">
        <v>11</v>
      </c>
      <c r="M10" s="23">
        <v>12</v>
      </c>
      <c r="N10" s="24">
        <v>13</v>
      </c>
      <c r="O10" s="40"/>
      <c r="P10" s="128"/>
    </row>
    <row r="11" spans="1:16" s="48" customFormat="1" ht="27" customHeight="1" x14ac:dyDescent="0.25">
      <c r="A11" s="41">
        <v>1</v>
      </c>
      <c r="B11" s="42"/>
      <c r="C11" s="43" t="s">
        <v>61</v>
      </c>
      <c r="D11" s="44" t="s">
        <v>60</v>
      </c>
      <c r="E11" s="45"/>
      <c r="F11" s="45"/>
      <c r="G11" s="46"/>
      <c r="H11" s="11"/>
      <c r="I11" s="92"/>
      <c r="J11" s="93"/>
      <c r="K11" s="17"/>
      <c r="L11" s="12"/>
      <c r="M11" s="12"/>
      <c r="N11" s="13"/>
      <c r="O11" s="47"/>
      <c r="P11" s="97"/>
    </row>
    <row r="12" spans="1:16" s="56" customFormat="1" ht="38.25" x14ac:dyDescent="0.25">
      <c r="A12" s="49">
        <v>2</v>
      </c>
      <c r="B12" s="50" t="s">
        <v>43</v>
      </c>
      <c r="C12" s="51" t="s">
        <v>58</v>
      </c>
      <c r="D12" s="52" t="s">
        <v>59</v>
      </c>
      <c r="E12" s="53" t="s">
        <v>16</v>
      </c>
      <c r="F12" s="53" t="s">
        <v>18</v>
      </c>
      <c r="G12" s="54">
        <v>1</v>
      </c>
      <c r="H12" s="18">
        <f>H13</f>
        <v>1</v>
      </c>
      <c r="I12" s="94"/>
      <c r="J12" s="95"/>
      <c r="K12" s="19">
        <f>J12</f>
        <v>0</v>
      </c>
      <c r="L12" s="19"/>
      <c r="M12" s="19">
        <f>H12*J12</f>
        <v>0</v>
      </c>
      <c r="N12" s="20">
        <f>M12</f>
        <v>0</v>
      </c>
      <c r="O12" s="55"/>
      <c r="P12" s="98" t="s">
        <v>48</v>
      </c>
    </row>
    <row r="13" spans="1:16" s="64" customFormat="1" ht="38.25" x14ac:dyDescent="0.25">
      <c r="A13" s="57">
        <v>3</v>
      </c>
      <c r="B13" s="58" t="s">
        <v>44</v>
      </c>
      <c r="C13" s="59"/>
      <c r="D13" s="60" t="s">
        <v>69</v>
      </c>
      <c r="E13" s="61" t="s">
        <v>17</v>
      </c>
      <c r="F13" s="61" t="s">
        <v>18</v>
      </c>
      <c r="G13" s="62">
        <v>1</v>
      </c>
      <c r="H13" s="8">
        <v>1</v>
      </c>
      <c r="I13" s="9"/>
      <c r="J13" s="10"/>
      <c r="K13" s="6">
        <f>I13</f>
        <v>0</v>
      </c>
      <c r="L13" s="6">
        <f>H13*I13</f>
        <v>0</v>
      </c>
      <c r="M13" s="6"/>
      <c r="N13" s="7">
        <f>L13</f>
        <v>0</v>
      </c>
      <c r="O13" s="63"/>
      <c r="P13" s="99"/>
    </row>
    <row r="14" spans="1:16" s="56" customFormat="1" ht="38.25" x14ac:dyDescent="0.25">
      <c r="A14" s="49">
        <v>4</v>
      </c>
      <c r="B14" s="50" t="s">
        <v>43</v>
      </c>
      <c r="C14" s="51" t="s">
        <v>63</v>
      </c>
      <c r="D14" s="52" t="s">
        <v>62</v>
      </c>
      <c r="E14" s="53" t="s">
        <v>16</v>
      </c>
      <c r="F14" s="53" t="s">
        <v>70</v>
      </c>
      <c r="G14" s="54">
        <v>1</v>
      </c>
      <c r="H14" s="18">
        <f>ROUND(8.36+4.08+4.08+3.97+37.29+40.68+1.35+6.75,2)</f>
        <v>106.56</v>
      </c>
      <c r="I14" s="94"/>
      <c r="J14" s="95"/>
      <c r="K14" s="19">
        <f>J14</f>
        <v>0</v>
      </c>
      <c r="L14" s="19"/>
      <c r="M14" s="19">
        <f>H14*J14</f>
        <v>0</v>
      </c>
      <c r="N14" s="20">
        <f>M14</f>
        <v>0</v>
      </c>
      <c r="O14" s="55"/>
      <c r="P14" s="98" t="s">
        <v>46</v>
      </c>
    </row>
    <row r="15" spans="1:16" s="64" customFormat="1" ht="76.5" x14ac:dyDescent="0.25">
      <c r="A15" s="57">
        <v>5</v>
      </c>
      <c r="B15" s="58" t="s">
        <v>44</v>
      </c>
      <c r="C15" s="59"/>
      <c r="D15" s="65" t="s">
        <v>125</v>
      </c>
      <c r="E15" s="61" t="s">
        <v>17</v>
      </c>
      <c r="F15" s="61" t="s">
        <v>71</v>
      </c>
      <c r="G15" s="62">
        <v>1</v>
      </c>
      <c r="H15" s="103">
        <f>ROUND((0.0017+0.03925*0.015*1)*8.36,3)</f>
        <v>1.9E-2</v>
      </c>
      <c r="I15" s="9"/>
      <c r="J15" s="96"/>
      <c r="K15" s="6">
        <f>I15</f>
        <v>0</v>
      </c>
      <c r="L15" s="6">
        <f t="shared" ref="L15:L22" si="0">H15*I15</f>
        <v>0</v>
      </c>
      <c r="M15" s="6"/>
      <c r="N15" s="7">
        <f>L15</f>
        <v>0</v>
      </c>
      <c r="O15" s="63"/>
      <c r="P15" s="99"/>
    </row>
    <row r="16" spans="1:16" s="64" customFormat="1" ht="102" x14ac:dyDescent="0.25">
      <c r="A16" s="57">
        <v>6</v>
      </c>
      <c r="B16" s="58" t="s">
        <v>44</v>
      </c>
      <c r="C16" s="59"/>
      <c r="D16" s="65" t="s">
        <v>126</v>
      </c>
      <c r="E16" s="61" t="s">
        <v>17</v>
      </c>
      <c r="F16" s="61" t="s">
        <v>71</v>
      </c>
      <c r="G16" s="62">
        <v>1</v>
      </c>
      <c r="H16" s="103">
        <f>ROUND((0.0017+0.0017+1.35*4*0.00139+1.35*6*0.001075+0.03925*0.015*4)*4.08,3)</f>
        <v>0.09</v>
      </c>
      <c r="I16" s="9"/>
      <c r="J16" s="96"/>
      <c r="K16" s="6">
        <f t="shared" ref="K16:K22" si="1">I16</f>
        <v>0</v>
      </c>
      <c r="L16" s="6">
        <f t="shared" si="0"/>
        <v>0</v>
      </c>
      <c r="M16" s="6"/>
      <c r="N16" s="7">
        <f t="shared" ref="N16:N22" si="2">L16</f>
        <v>0</v>
      </c>
      <c r="O16" s="63"/>
      <c r="P16" s="99"/>
    </row>
    <row r="17" spans="1:16" s="64" customFormat="1" ht="102" x14ac:dyDescent="0.25">
      <c r="A17" s="57">
        <v>7</v>
      </c>
      <c r="B17" s="58" t="s">
        <v>44</v>
      </c>
      <c r="C17" s="59"/>
      <c r="D17" s="65" t="s">
        <v>127</v>
      </c>
      <c r="E17" s="61" t="s">
        <v>17</v>
      </c>
      <c r="F17" s="61" t="s">
        <v>71</v>
      </c>
      <c r="G17" s="62">
        <v>1</v>
      </c>
      <c r="H17" s="103">
        <f>ROUND((0.0017+0.0017+1.35*4*0.00139+1.35*6*0.001075+0.03925*0.015*4)*4.08,3)</f>
        <v>0.09</v>
      </c>
      <c r="I17" s="9"/>
      <c r="J17" s="96"/>
      <c r="K17" s="6">
        <f t="shared" si="1"/>
        <v>0</v>
      </c>
      <c r="L17" s="6">
        <f t="shared" si="0"/>
        <v>0</v>
      </c>
      <c r="M17" s="6"/>
      <c r="N17" s="7">
        <f t="shared" si="2"/>
        <v>0</v>
      </c>
      <c r="O17" s="63"/>
      <c r="P17" s="99"/>
    </row>
    <row r="18" spans="1:16" s="64" customFormat="1" ht="102" x14ac:dyDescent="0.25">
      <c r="A18" s="57">
        <v>8</v>
      </c>
      <c r="B18" s="58" t="s">
        <v>44</v>
      </c>
      <c r="C18" s="59"/>
      <c r="D18" s="65" t="s">
        <v>128</v>
      </c>
      <c r="E18" s="61" t="s">
        <v>17</v>
      </c>
      <c r="F18" s="61" t="s">
        <v>71</v>
      </c>
      <c r="G18" s="62">
        <v>1</v>
      </c>
      <c r="H18" s="103">
        <f>ROUND((0.0017+0.0017+1.35*4*0.00139+1.35*6*0.001075+0.03925*0.015*4)*3.97,3)</f>
        <v>8.6999999999999994E-2</v>
      </c>
      <c r="I18" s="9"/>
      <c r="J18" s="96"/>
      <c r="K18" s="6">
        <f t="shared" si="1"/>
        <v>0</v>
      </c>
      <c r="L18" s="6">
        <f t="shared" si="0"/>
        <v>0</v>
      </c>
      <c r="M18" s="6"/>
      <c r="N18" s="7">
        <f t="shared" si="2"/>
        <v>0</v>
      </c>
      <c r="O18" s="63"/>
      <c r="P18" s="99"/>
    </row>
    <row r="19" spans="1:16" s="64" customFormat="1" ht="102" x14ac:dyDescent="0.25">
      <c r="A19" s="57">
        <v>9</v>
      </c>
      <c r="B19" s="58" t="s">
        <v>44</v>
      </c>
      <c r="C19" s="59"/>
      <c r="D19" s="65" t="s">
        <v>129</v>
      </c>
      <c r="E19" s="61" t="s">
        <v>17</v>
      </c>
      <c r="F19" s="61" t="s">
        <v>71</v>
      </c>
      <c r="G19" s="62">
        <v>1</v>
      </c>
      <c r="H19" s="103">
        <f>ROUND((0.0017+0.0017+1.35*4*0.00139+1.35*6*0.001075+0.03925*0.015*4)*37.29,3)</f>
        <v>0.81899999999999995</v>
      </c>
      <c r="I19" s="9"/>
      <c r="J19" s="96"/>
      <c r="K19" s="6">
        <f t="shared" si="1"/>
        <v>0</v>
      </c>
      <c r="L19" s="6">
        <f t="shared" si="0"/>
        <v>0</v>
      </c>
      <c r="M19" s="6"/>
      <c r="N19" s="7">
        <f t="shared" si="2"/>
        <v>0</v>
      </c>
      <c r="O19" s="63"/>
      <c r="P19" s="99"/>
    </row>
    <row r="20" spans="1:16" s="64" customFormat="1" ht="102" x14ac:dyDescent="0.25">
      <c r="A20" s="57">
        <v>10</v>
      </c>
      <c r="B20" s="58" t="s">
        <v>44</v>
      </c>
      <c r="C20" s="59"/>
      <c r="D20" s="65" t="s">
        <v>130</v>
      </c>
      <c r="E20" s="61" t="s">
        <v>17</v>
      </c>
      <c r="F20" s="61" t="s">
        <v>71</v>
      </c>
      <c r="G20" s="62">
        <v>1</v>
      </c>
      <c r="H20" s="103">
        <f>ROUND((0.0017+0.0017+1.35*4*0.00139+1.35*6*0.001075+0.03925*0.015*4)*40.68,3)</f>
        <v>0.89400000000000002</v>
      </c>
      <c r="I20" s="9"/>
      <c r="J20" s="96"/>
      <c r="K20" s="6">
        <f>I20</f>
        <v>0</v>
      </c>
      <c r="L20" s="6">
        <f t="shared" si="0"/>
        <v>0</v>
      </c>
      <c r="M20" s="6"/>
      <c r="N20" s="7">
        <f>L20</f>
        <v>0</v>
      </c>
      <c r="O20" s="63"/>
      <c r="P20" s="99"/>
    </row>
    <row r="21" spans="1:16" s="64" customFormat="1" ht="102" x14ac:dyDescent="0.25">
      <c r="A21" s="57">
        <v>11</v>
      </c>
      <c r="B21" s="58" t="s">
        <v>44</v>
      </c>
      <c r="C21" s="59"/>
      <c r="D21" s="65" t="s">
        <v>131</v>
      </c>
      <c r="E21" s="61" t="s">
        <v>17</v>
      </c>
      <c r="F21" s="61" t="s">
        <v>71</v>
      </c>
      <c r="G21" s="62">
        <v>1</v>
      </c>
      <c r="H21" s="103">
        <f>ROUND((0.0017+0.0017+1.35*4*0.00139+1.35*6*0.001075+0.03925*0.015*4)*1.35,3)</f>
        <v>0.03</v>
      </c>
      <c r="I21" s="9"/>
      <c r="J21" s="96"/>
      <c r="K21" s="6">
        <f t="shared" si="1"/>
        <v>0</v>
      </c>
      <c r="L21" s="6">
        <f t="shared" si="0"/>
        <v>0</v>
      </c>
      <c r="M21" s="6"/>
      <c r="N21" s="7">
        <f t="shared" si="2"/>
        <v>0</v>
      </c>
      <c r="O21" s="63"/>
      <c r="P21" s="99"/>
    </row>
    <row r="22" spans="1:16" s="64" customFormat="1" ht="102" x14ac:dyDescent="0.25">
      <c r="A22" s="57">
        <v>12</v>
      </c>
      <c r="B22" s="58" t="s">
        <v>44</v>
      </c>
      <c r="C22" s="59"/>
      <c r="D22" s="65" t="s">
        <v>132</v>
      </c>
      <c r="E22" s="61" t="s">
        <v>17</v>
      </c>
      <c r="F22" s="61" t="s">
        <v>71</v>
      </c>
      <c r="G22" s="62">
        <v>1</v>
      </c>
      <c r="H22" s="103">
        <f>ROUND((0.0017+1.35*2*0.001075)*6.75,3)</f>
        <v>3.1E-2</v>
      </c>
      <c r="I22" s="9"/>
      <c r="J22" s="96"/>
      <c r="K22" s="6">
        <f t="shared" si="1"/>
        <v>0</v>
      </c>
      <c r="L22" s="6">
        <f t="shared" si="0"/>
        <v>0</v>
      </c>
      <c r="M22" s="6"/>
      <c r="N22" s="7">
        <f t="shared" si="2"/>
        <v>0</v>
      </c>
      <c r="O22" s="63"/>
      <c r="P22" s="99"/>
    </row>
    <row r="23" spans="1:16" s="56" customFormat="1" ht="38.25" x14ac:dyDescent="0.25">
      <c r="A23" s="49">
        <v>13</v>
      </c>
      <c r="B23" s="50" t="s">
        <v>43</v>
      </c>
      <c r="C23" s="51" t="s">
        <v>63</v>
      </c>
      <c r="D23" s="52" t="s">
        <v>62</v>
      </c>
      <c r="E23" s="53" t="s">
        <v>16</v>
      </c>
      <c r="F23" s="53" t="s">
        <v>70</v>
      </c>
      <c r="G23" s="54">
        <v>1</v>
      </c>
      <c r="H23" s="18">
        <f>SUM(H24:H27)</f>
        <v>43.550000000000004</v>
      </c>
      <c r="I23" s="94"/>
      <c r="J23" s="95"/>
      <c r="K23" s="19">
        <f>J23</f>
        <v>0</v>
      </c>
      <c r="L23" s="19"/>
      <c r="M23" s="19">
        <f>H23*J23</f>
        <v>0</v>
      </c>
      <c r="N23" s="20">
        <f>M23</f>
        <v>0</v>
      </c>
      <c r="O23" s="55"/>
      <c r="P23" s="98" t="s">
        <v>47</v>
      </c>
    </row>
    <row r="24" spans="1:16" s="64" customFormat="1" ht="38.25" x14ac:dyDescent="0.25">
      <c r="A24" s="57">
        <v>14</v>
      </c>
      <c r="B24" s="58" t="s">
        <v>44</v>
      </c>
      <c r="C24" s="59"/>
      <c r="D24" s="60" t="s">
        <v>115</v>
      </c>
      <c r="E24" s="61" t="s">
        <v>17</v>
      </c>
      <c r="F24" s="61" t="s">
        <v>70</v>
      </c>
      <c r="G24" s="62">
        <v>1</v>
      </c>
      <c r="H24" s="8">
        <f>ROUND(1*(1.15+3.035),2)</f>
        <v>4.1900000000000004</v>
      </c>
      <c r="I24" s="9"/>
      <c r="J24" s="10"/>
      <c r="K24" s="6">
        <f t="shared" ref="K24:K26" si="3">I24</f>
        <v>0</v>
      </c>
      <c r="L24" s="6">
        <f>H24*I24</f>
        <v>0</v>
      </c>
      <c r="M24" s="6"/>
      <c r="N24" s="7">
        <f t="shared" ref="N24:N26" si="4">L24</f>
        <v>0</v>
      </c>
      <c r="O24" s="63"/>
      <c r="P24" s="99"/>
    </row>
    <row r="25" spans="1:16" s="64" customFormat="1" ht="38.25" x14ac:dyDescent="0.25">
      <c r="A25" s="57">
        <v>15</v>
      </c>
      <c r="B25" s="58" t="s">
        <v>44</v>
      </c>
      <c r="C25" s="59"/>
      <c r="D25" s="60" t="s">
        <v>116</v>
      </c>
      <c r="E25" s="61" t="s">
        <v>17</v>
      </c>
      <c r="F25" s="61" t="s">
        <v>70</v>
      </c>
      <c r="G25" s="62">
        <v>1</v>
      </c>
      <c r="H25" s="8">
        <f>ROUND(1*(1.095+3.035),2)</f>
        <v>4.13</v>
      </c>
      <c r="I25" s="9"/>
      <c r="J25" s="10"/>
      <c r="K25" s="6">
        <f t="shared" ref="K25" si="5">I25</f>
        <v>0</v>
      </c>
      <c r="L25" s="6">
        <f>H25*I25</f>
        <v>0</v>
      </c>
      <c r="M25" s="6"/>
      <c r="N25" s="7">
        <f t="shared" ref="N25" si="6">L25</f>
        <v>0</v>
      </c>
      <c r="O25" s="63"/>
      <c r="P25" s="99"/>
    </row>
    <row r="26" spans="1:16" s="64" customFormat="1" ht="38.25" x14ac:dyDescent="0.25">
      <c r="A26" s="57">
        <v>16</v>
      </c>
      <c r="B26" s="58" t="s">
        <v>44</v>
      </c>
      <c r="C26" s="59"/>
      <c r="D26" s="60" t="s">
        <v>133</v>
      </c>
      <c r="E26" s="61" t="s">
        <v>17</v>
      </c>
      <c r="F26" s="61" t="s">
        <v>70</v>
      </c>
      <c r="G26" s="62">
        <v>1</v>
      </c>
      <c r="H26" s="8">
        <f>ROUND(12*2.71,2)</f>
        <v>32.520000000000003</v>
      </c>
      <c r="I26" s="9"/>
      <c r="J26" s="10"/>
      <c r="K26" s="6">
        <f t="shared" si="3"/>
        <v>0</v>
      </c>
      <c r="L26" s="6">
        <f t="shared" ref="L26" si="7">H26*I26</f>
        <v>0</v>
      </c>
      <c r="M26" s="6"/>
      <c r="N26" s="7">
        <f t="shared" si="4"/>
        <v>0</v>
      </c>
      <c r="O26" s="63"/>
      <c r="P26" s="99"/>
    </row>
    <row r="27" spans="1:16" s="64" customFormat="1" ht="38.25" x14ac:dyDescent="0.25">
      <c r="A27" s="57">
        <v>17</v>
      </c>
      <c r="B27" s="58" t="s">
        <v>44</v>
      </c>
      <c r="C27" s="59"/>
      <c r="D27" s="60" t="s">
        <v>134</v>
      </c>
      <c r="E27" s="61" t="s">
        <v>17</v>
      </c>
      <c r="F27" s="61" t="s">
        <v>70</v>
      </c>
      <c r="G27" s="62">
        <v>1</v>
      </c>
      <c r="H27" s="8">
        <f>ROUND(1*2.71,2)</f>
        <v>2.71</v>
      </c>
      <c r="I27" s="9"/>
      <c r="J27" s="10"/>
      <c r="K27" s="6">
        <f t="shared" ref="K27" si="8">I27</f>
        <v>0</v>
      </c>
      <c r="L27" s="6">
        <f t="shared" ref="L27" si="9">H27*I27</f>
        <v>0</v>
      </c>
      <c r="M27" s="6"/>
      <c r="N27" s="7">
        <f t="shared" ref="N27" si="10">L27</f>
        <v>0</v>
      </c>
      <c r="O27" s="63"/>
      <c r="P27" s="99"/>
    </row>
    <row r="28" spans="1:16" s="56" customFormat="1" ht="51" x14ac:dyDescent="0.25">
      <c r="A28" s="41">
        <v>18</v>
      </c>
      <c r="B28" s="42" t="s">
        <v>43</v>
      </c>
      <c r="C28" s="43" t="s">
        <v>61</v>
      </c>
      <c r="D28" s="44" t="s">
        <v>49</v>
      </c>
      <c r="E28" s="45" t="s">
        <v>16</v>
      </c>
      <c r="F28" s="45" t="s">
        <v>18</v>
      </c>
      <c r="G28" s="46">
        <v>1</v>
      </c>
      <c r="H28" s="11">
        <f>H29</f>
        <v>2</v>
      </c>
      <c r="I28" s="92"/>
      <c r="J28" s="93"/>
      <c r="K28" s="17">
        <f>J28</f>
        <v>0</v>
      </c>
      <c r="L28" s="12"/>
      <c r="M28" s="12">
        <f>H28*J28</f>
        <v>0</v>
      </c>
      <c r="N28" s="13">
        <f>M28</f>
        <v>0</v>
      </c>
      <c r="O28" s="55"/>
      <c r="P28" s="98" t="s">
        <v>49</v>
      </c>
    </row>
    <row r="29" spans="1:16" s="64" customFormat="1" ht="26.25" thickBot="1" x14ac:dyDescent="0.3">
      <c r="A29" s="57">
        <v>19</v>
      </c>
      <c r="B29" s="58" t="s">
        <v>44</v>
      </c>
      <c r="C29" s="59"/>
      <c r="D29" s="60" t="s">
        <v>50</v>
      </c>
      <c r="E29" s="61" t="s">
        <v>17</v>
      </c>
      <c r="F29" s="61" t="s">
        <v>18</v>
      </c>
      <c r="G29" s="62">
        <v>1</v>
      </c>
      <c r="H29" s="8">
        <v>2</v>
      </c>
      <c r="I29" s="9"/>
      <c r="J29" s="10"/>
      <c r="K29" s="6">
        <f>I29</f>
        <v>0</v>
      </c>
      <c r="L29" s="6">
        <f>H29*I29</f>
        <v>0</v>
      </c>
      <c r="M29" s="6"/>
      <c r="N29" s="7">
        <f>L29</f>
        <v>0</v>
      </c>
      <c r="O29" s="63"/>
      <c r="P29" s="100"/>
    </row>
    <row r="30" spans="1:16" x14ac:dyDescent="0.25">
      <c r="A30" s="25"/>
      <c r="B30" s="16"/>
      <c r="C30" s="1"/>
      <c r="D30" s="2" t="s">
        <v>19</v>
      </c>
      <c r="E30" s="1"/>
      <c r="F30" s="1"/>
      <c r="G30" s="1"/>
      <c r="H30" s="15"/>
      <c r="I30" s="14"/>
      <c r="J30" s="3"/>
      <c r="K30" s="3"/>
      <c r="L30" s="4">
        <f>SUM(L11:L29)</f>
        <v>0</v>
      </c>
      <c r="M30" s="4">
        <f>SUM(M11:M29)</f>
        <v>0</v>
      </c>
      <c r="N30" s="5">
        <f>SUM(N11:N29)</f>
        <v>0</v>
      </c>
      <c r="O30" s="30"/>
      <c r="P30" s="33"/>
    </row>
    <row r="31" spans="1:16" x14ac:dyDescent="0.25">
      <c r="A31" s="131"/>
      <c r="B31" s="132"/>
      <c r="C31" s="69"/>
      <c r="D31" s="2" t="s">
        <v>35</v>
      </c>
      <c r="E31" s="1"/>
      <c r="F31" s="1"/>
      <c r="G31" s="1"/>
      <c r="H31" s="70"/>
      <c r="I31" s="71"/>
      <c r="J31" s="72"/>
      <c r="K31" s="72"/>
      <c r="L31" s="4"/>
      <c r="M31" s="4"/>
      <c r="N31" s="5">
        <f>N30/1.22*0.22</f>
        <v>0</v>
      </c>
      <c r="O31" s="30"/>
      <c r="P31" s="33"/>
    </row>
    <row r="32" spans="1:16" x14ac:dyDescent="0.25">
      <c r="A32" s="73" t="s">
        <v>20</v>
      </c>
      <c r="B32" s="74"/>
      <c r="C32" s="74"/>
      <c r="D32" s="74"/>
      <c r="E32" s="74"/>
      <c r="F32" s="74"/>
      <c r="G32" s="74"/>
      <c r="H32" s="75"/>
      <c r="I32" s="76"/>
      <c r="J32" s="76"/>
      <c r="K32" s="77"/>
      <c r="L32" s="77"/>
      <c r="M32" s="77"/>
      <c r="N32" s="78"/>
      <c r="O32" s="30"/>
      <c r="P32" s="33"/>
    </row>
    <row r="33" spans="1:16" x14ac:dyDescent="0.25">
      <c r="A33" s="137">
        <v>1</v>
      </c>
      <c r="B33" s="138"/>
      <c r="C33" s="79"/>
      <c r="D33" s="80" t="s">
        <v>21</v>
      </c>
      <c r="E33" s="108"/>
      <c r="F33" s="109"/>
      <c r="G33" s="109"/>
      <c r="H33" s="110"/>
      <c r="I33" s="111"/>
      <c r="J33" s="112"/>
      <c r="K33" s="113"/>
      <c r="L33" s="113"/>
      <c r="M33" s="113"/>
      <c r="N33" s="114"/>
      <c r="O33" s="30"/>
      <c r="P33" s="30"/>
    </row>
    <row r="34" spans="1:16" ht="30" customHeight="1" x14ac:dyDescent="0.25">
      <c r="A34" s="135">
        <v>2</v>
      </c>
      <c r="B34" s="136"/>
      <c r="C34" s="104"/>
      <c r="D34" s="81" t="s">
        <v>22</v>
      </c>
      <c r="E34" s="115"/>
      <c r="F34" s="116"/>
      <c r="G34" s="116"/>
      <c r="H34" s="117"/>
      <c r="I34" s="111"/>
      <c r="J34" s="112"/>
      <c r="K34" s="113"/>
      <c r="L34" s="113"/>
      <c r="M34" s="113"/>
      <c r="N34" s="114"/>
      <c r="O34" s="30"/>
      <c r="P34" s="33"/>
    </row>
    <row r="35" spans="1:16" x14ac:dyDescent="0.25">
      <c r="A35" s="135">
        <v>3</v>
      </c>
      <c r="B35" s="136"/>
      <c r="C35" s="79"/>
      <c r="D35" s="81" t="s">
        <v>23</v>
      </c>
      <c r="E35" s="115"/>
      <c r="F35" s="116"/>
      <c r="G35" s="116"/>
      <c r="H35" s="117"/>
      <c r="I35" s="111"/>
      <c r="J35" s="112"/>
      <c r="K35" s="113"/>
      <c r="L35" s="113"/>
      <c r="M35" s="113"/>
      <c r="N35" s="114"/>
      <c r="O35" s="30"/>
      <c r="P35" s="33"/>
    </row>
    <row r="36" spans="1:16" ht="25.5" x14ac:dyDescent="0.25">
      <c r="A36" s="135">
        <v>4</v>
      </c>
      <c r="B36" s="136"/>
      <c r="C36" s="104"/>
      <c r="D36" s="81" t="s">
        <v>24</v>
      </c>
      <c r="E36" s="115"/>
      <c r="F36" s="116"/>
      <c r="G36" s="116"/>
      <c r="H36" s="117"/>
      <c r="I36" s="111"/>
      <c r="J36" s="112"/>
      <c r="K36" s="113"/>
      <c r="L36" s="113"/>
      <c r="M36" s="113"/>
      <c r="N36" s="114"/>
      <c r="O36" s="30"/>
      <c r="P36" s="33"/>
    </row>
    <row r="37" spans="1:16" ht="25.5" x14ac:dyDescent="0.25">
      <c r="A37" s="135">
        <v>5</v>
      </c>
      <c r="B37" s="136"/>
      <c r="C37" s="79"/>
      <c r="D37" s="81" t="s">
        <v>25</v>
      </c>
      <c r="E37" s="115"/>
      <c r="F37" s="116"/>
      <c r="G37" s="116"/>
      <c r="H37" s="117"/>
      <c r="I37" s="111"/>
      <c r="J37" s="112"/>
      <c r="K37" s="113"/>
      <c r="L37" s="113"/>
      <c r="M37" s="113"/>
      <c r="N37" s="114"/>
      <c r="O37" s="30"/>
      <c r="P37" s="30"/>
    </row>
    <row r="38" spans="1:16" x14ac:dyDescent="0.25">
      <c r="A38" s="135">
        <v>6</v>
      </c>
      <c r="B38" s="136"/>
      <c r="C38" s="104"/>
      <c r="D38" s="81" t="s">
        <v>26</v>
      </c>
      <c r="E38" s="115"/>
      <c r="F38" s="116"/>
      <c r="G38" s="116"/>
      <c r="H38" s="117"/>
      <c r="I38" s="111"/>
      <c r="J38" s="112"/>
      <c r="K38" s="113"/>
      <c r="L38" s="113"/>
      <c r="M38" s="113"/>
      <c r="N38" s="114"/>
      <c r="O38" s="30"/>
      <c r="P38" s="33"/>
    </row>
    <row r="39" spans="1:16" x14ac:dyDescent="0.25">
      <c r="A39" s="135">
        <v>7</v>
      </c>
      <c r="B39" s="136"/>
      <c r="C39" s="79"/>
      <c r="D39" s="81" t="s">
        <v>27</v>
      </c>
      <c r="E39" s="115"/>
      <c r="F39" s="116"/>
      <c r="G39" s="116"/>
      <c r="H39" s="117"/>
      <c r="I39" s="111"/>
      <c r="J39" s="112"/>
      <c r="K39" s="113"/>
      <c r="L39" s="113"/>
      <c r="M39" s="113"/>
      <c r="N39" s="114"/>
      <c r="O39" s="30"/>
      <c r="P39" s="33"/>
    </row>
    <row r="40" spans="1:16" x14ac:dyDescent="0.25">
      <c r="A40" s="135">
        <v>8</v>
      </c>
      <c r="B40" s="136"/>
      <c r="C40" s="104"/>
      <c r="D40" s="81" t="s">
        <v>28</v>
      </c>
      <c r="E40" s="115"/>
      <c r="F40" s="116"/>
      <c r="G40" s="116"/>
      <c r="H40" s="117"/>
      <c r="I40" s="111"/>
      <c r="J40" s="112"/>
      <c r="K40" s="113"/>
      <c r="L40" s="113"/>
      <c r="M40" s="113"/>
      <c r="N40" s="114"/>
      <c r="O40" s="30"/>
      <c r="P40" s="33"/>
    </row>
    <row r="41" spans="1:16" x14ac:dyDescent="0.25">
      <c r="A41" s="135">
        <v>9</v>
      </c>
      <c r="B41" s="136"/>
      <c r="C41" s="79"/>
      <c r="D41" s="81" t="s">
        <v>29</v>
      </c>
      <c r="E41" s="115"/>
      <c r="F41" s="116"/>
      <c r="G41" s="116"/>
      <c r="H41" s="117"/>
      <c r="I41" s="111"/>
      <c r="J41" s="112"/>
      <c r="K41" s="113"/>
      <c r="L41" s="113"/>
      <c r="M41" s="113"/>
      <c r="N41" s="114"/>
      <c r="O41" s="30"/>
      <c r="P41" s="30"/>
    </row>
    <row r="42" spans="1:16" ht="25.5" x14ac:dyDescent="0.25">
      <c r="A42" s="135">
        <v>10</v>
      </c>
      <c r="B42" s="136"/>
      <c r="C42" s="104"/>
      <c r="D42" s="82" t="s">
        <v>30</v>
      </c>
      <c r="E42" s="118"/>
      <c r="F42" s="116"/>
      <c r="G42" s="116"/>
      <c r="H42" s="117"/>
      <c r="I42" s="111"/>
      <c r="J42" s="112"/>
      <c r="K42" s="113"/>
      <c r="L42" s="113"/>
      <c r="M42" s="113"/>
      <c r="N42" s="114"/>
      <c r="O42" s="30"/>
      <c r="P42" s="33"/>
    </row>
    <row r="43" spans="1:16" ht="15.75" thickBot="1" x14ac:dyDescent="0.3">
      <c r="A43" s="133">
        <v>11</v>
      </c>
      <c r="B43" s="134"/>
      <c r="C43" s="83"/>
      <c r="D43" s="84" t="s">
        <v>31</v>
      </c>
      <c r="E43" s="119"/>
      <c r="F43" s="120"/>
      <c r="G43" s="120"/>
      <c r="H43" s="121"/>
      <c r="I43" s="122"/>
      <c r="J43" s="123"/>
      <c r="K43" s="124"/>
      <c r="L43" s="124"/>
      <c r="M43" s="124"/>
      <c r="N43" s="125"/>
      <c r="O43" s="30"/>
      <c r="P43" s="33"/>
    </row>
    <row r="44" spans="1:16" x14ac:dyDescent="0.25">
      <c r="A44" s="85"/>
      <c r="B44" s="85"/>
      <c r="C44" s="86"/>
      <c r="D44" s="87"/>
      <c r="E44" s="85"/>
      <c r="F44" s="86"/>
      <c r="G44" s="86"/>
      <c r="H44" s="88"/>
      <c r="I44" s="86"/>
      <c r="J44" s="86"/>
      <c r="K44" s="89"/>
      <c r="L44" s="86"/>
      <c r="M44" s="86"/>
      <c r="N44" s="86"/>
      <c r="O44" s="30"/>
      <c r="P44" s="33"/>
    </row>
    <row r="45" spans="1:16" ht="96" customHeight="1" x14ac:dyDescent="0.25">
      <c r="A45" s="129" t="s">
        <v>65</v>
      </c>
      <c r="B45" s="129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30"/>
      <c r="P45" s="30"/>
    </row>
    <row r="46" spans="1:16" ht="47.25" customHeight="1" x14ac:dyDescent="0.25">
      <c r="A46" s="26"/>
      <c r="B46" s="26"/>
      <c r="C46" s="26"/>
      <c r="D46" s="27" t="s">
        <v>32</v>
      </c>
      <c r="E46" s="27"/>
      <c r="F46" s="27"/>
      <c r="G46" s="27"/>
      <c r="H46" s="27"/>
      <c r="I46" s="27"/>
      <c r="J46" s="28"/>
      <c r="K46" s="28"/>
      <c r="L46" s="90"/>
      <c r="M46" s="28"/>
      <c r="N46" s="91"/>
      <c r="O46" s="30"/>
      <c r="P46" s="33"/>
    </row>
  </sheetData>
  <sheetProtection autoFilter="0"/>
  <autoFilter ref="A10:N43" xr:uid="{00000000-0001-0000-0000-000000000000}"/>
  <mergeCells count="29">
    <mergeCell ref="A45:N45"/>
    <mergeCell ref="A38:B38"/>
    <mergeCell ref="A39:B39"/>
    <mergeCell ref="A40:B40"/>
    <mergeCell ref="A41:B41"/>
    <mergeCell ref="A42:B42"/>
    <mergeCell ref="A43:B43"/>
    <mergeCell ref="A37:B37"/>
    <mergeCell ref="H8:H9"/>
    <mergeCell ref="I8:J8"/>
    <mergeCell ref="K8:K9"/>
    <mergeCell ref="L8:M8"/>
    <mergeCell ref="A31:B31"/>
    <mergeCell ref="A33:B33"/>
    <mergeCell ref="A34:B34"/>
    <mergeCell ref="A35:B35"/>
    <mergeCell ref="A36:B36"/>
    <mergeCell ref="N8:N9"/>
    <mergeCell ref="P8:P10"/>
    <mergeCell ref="A3:N3"/>
    <mergeCell ref="A4:N4"/>
    <mergeCell ref="A5:N5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1B978-E3A6-4D02-8A22-02F935953CFF}">
  <dimension ref="A1:P43"/>
  <sheetViews>
    <sheetView zoomScale="90" zoomScaleNormal="90" workbookViewId="0"/>
  </sheetViews>
  <sheetFormatPr defaultColWidth="9.140625" defaultRowHeight="15" x14ac:dyDescent="0.25"/>
  <cols>
    <col min="1" max="1" width="9.5703125" style="48" customWidth="1"/>
    <col min="2" max="2" width="2.7109375" style="48" bestFit="1" customWidth="1"/>
    <col min="3" max="3" width="13.5703125" style="31" bestFit="1" customWidth="1"/>
    <col min="4" max="4" width="42.85546875" style="31" customWidth="1"/>
    <col min="5" max="5" width="17" style="31" customWidth="1"/>
    <col min="6" max="6" width="9.7109375" style="31" customWidth="1"/>
    <col min="7" max="7" width="9.5703125" style="31" customWidth="1"/>
    <col min="8" max="8" width="10.7109375" style="31" customWidth="1"/>
    <col min="9" max="10" width="13.7109375" style="31" customWidth="1"/>
    <col min="11" max="11" width="14.7109375" style="31" customWidth="1"/>
    <col min="12" max="12" width="13.28515625" style="31" customWidth="1"/>
    <col min="13" max="13" width="14.7109375" style="31" customWidth="1"/>
    <col min="14" max="14" width="17.28515625" style="31" customWidth="1"/>
    <col min="15" max="15" width="2.7109375" style="31" customWidth="1"/>
    <col min="16" max="16" width="62.140625" style="31" customWidth="1"/>
    <col min="17" max="16384" width="9.140625" style="31"/>
  </cols>
  <sheetData>
    <row r="1" spans="1:16" x14ac:dyDescent="0.25">
      <c r="A1" s="26"/>
      <c r="B1" s="26"/>
      <c r="C1" s="26"/>
      <c r="D1" s="27"/>
      <c r="E1" s="27"/>
      <c r="F1" s="27"/>
      <c r="G1" s="27"/>
      <c r="H1" s="27"/>
      <c r="I1" s="28"/>
      <c r="J1" s="28"/>
      <c r="K1" s="28"/>
      <c r="L1" s="28"/>
      <c r="M1" s="28"/>
      <c r="N1" s="29" t="s">
        <v>0</v>
      </c>
      <c r="O1" s="30"/>
      <c r="P1" s="30"/>
    </row>
    <row r="2" spans="1:16" x14ac:dyDescent="0.25">
      <c r="A2" s="26"/>
      <c r="B2" s="26"/>
      <c r="C2" s="26"/>
      <c r="D2" s="27"/>
      <c r="E2" s="27"/>
      <c r="F2" s="27"/>
      <c r="G2" s="27"/>
      <c r="H2" s="27"/>
      <c r="I2" s="28"/>
      <c r="J2" s="28"/>
      <c r="K2" s="28"/>
      <c r="L2" s="28"/>
      <c r="M2" s="28"/>
      <c r="N2" s="29" t="s">
        <v>1</v>
      </c>
      <c r="O2" s="30"/>
      <c r="P2" s="30"/>
    </row>
    <row r="3" spans="1:16" ht="18.75" x14ac:dyDescent="0.25">
      <c r="A3" s="139" t="s">
        <v>2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30"/>
      <c r="P3" s="30"/>
    </row>
    <row r="4" spans="1:16" ht="15.75" x14ac:dyDescent="0.25">
      <c r="A4" s="140" t="s">
        <v>45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30"/>
      <c r="P4" s="30"/>
    </row>
    <row r="5" spans="1:16" ht="15.75" x14ac:dyDescent="0.25">
      <c r="A5" s="141" t="s">
        <v>66</v>
      </c>
      <c r="B5" s="141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30"/>
      <c r="P5" s="30"/>
    </row>
    <row r="6" spans="1:16" ht="15.75" x14ac:dyDescent="0.25">
      <c r="A6" s="32"/>
      <c r="B6" s="32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30"/>
      <c r="P6" s="30"/>
    </row>
    <row r="7" spans="1:16" ht="16.5" thickBot="1" x14ac:dyDescent="0.3">
      <c r="A7" s="33"/>
      <c r="B7" s="33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30"/>
      <c r="P7" s="30"/>
    </row>
    <row r="8" spans="1:16" x14ac:dyDescent="0.25">
      <c r="A8" s="143" t="s">
        <v>34</v>
      </c>
      <c r="B8" s="153"/>
      <c r="C8" s="145" t="s">
        <v>3</v>
      </c>
      <c r="D8" s="147" t="s">
        <v>4</v>
      </c>
      <c r="E8" s="147" t="s">
        <v>5</v>
      </c>
      <c r="F8" s="147" t="s">
        <v>6</v>
      </c>
      <c r="G8" s="149" t="s">
        <v>7</v>
      </c>
      <c r="H8" s="151" t="s">
        <v>8</v>
      </c>
      <c r="I8" s="155" t="s">
        <v>36</v>
      </c>
      <c r="J8" s="156"/>
      <c r="K8" s="156" t="s">
        <v>10</v>
      </c>
      <c r="L8" s="156" t="s">
        <v>11</v>
      </c>
      <c r="M8" s="156"/>
      <c r="N8" s="158" t="s">
        <v>12</v>
      </c>
      <c r="O8" s="27" t="s">
        <v>13</v>
      </c>
      <c r="P8" s="126" t="s">
        <v>9</v>
      </c>
    </row>
    <row r="9" spans="1:16" ht="26.25" thickBot="1" x14ac:dyDescent="0.3">
      <c r="A9" s="144"/>
      <c r="B9" s="154"/>
      <c r="C9" s="146"/>
      <c r="D9" s="148"/>
      <c r="E9" s="148"/>
      <c r="F9" s="148"/>
      <c r="G9" s="150"/>
      <c r="H9" s="152"/>
      <c r="I9" s="34" t="s">
        <v>14</v>
      </c>
      <c r="J9" s="107" t="s">
        <v>15</v>
      </c>
      <c r="K9" s="157"/>
      <c r="L9" s="107" t="s">
        <v>14</v>
      </c>
      <c r="M9" s="107" t="s">
        <v>15</v>
      </c>
      <c r="N9" s="159"/>
      <c r="O9" s="30"/>
      <c r="P9" s="127"/>
    </row>
    <row r="10" spans="1:16" ht="15.75" thickBot="1" x14ac:dyDescent="0.3">
      <c r="A10" s="35">
        <v>1</v>
      </c>
      <c r="B10" s="36"/>
      <c r="C10" s="37">
        <v>2</v>
      </c>
      <c r="D10" s="38">
        <v>3</v>
      </c>
      <c r="E10" s="38">
        <v>4</v>
      </c>
      <c r="F10" s="38">
        <v>5</v>
      </c>
      <c r="G10" s="39">
        <v>6</v>
      </c>
      <c r="H10" s="21">
        <v>7</v>
      </c>
      <c r="I10" s="22">
        <v>8</v>
      </c>
      <c r="J10" s="23">
        <v>9</v>
      </c>
      <c r="K10" s="23">
        <v>10</v>
      </c>
      <c r="L10" s="23">
        <v>11</v>
      </c>
      <c r="M10" s="23">
        <v>12</v>
      </c>
      <c r="N10" s="24">
        <v>13</v>
      </c>
      <c r="O10" s="40"/>
      <c r="P10" s="128"/>
    </row>
    <row r="11" spans="1:16" s="48" customFormat="1" ht="27" customHeight="1" x14ac:dyDescent="0.25">
      <c r="A11" s="41">
        <v>1</v>
      </c>
      <c r="B11" s="42"/>
      <c r="C11" s="43" t="s">
        <v>61</v>
      </c>
      <c r="D11" s="44" t="s">
        <v>60</v>
      </c>
      <c r="E11" s="45"/>
      <c r="F11" s="45"/>
      <c r="G11" s="46"/>
      <c r="H11" s="11"/>
      <c r="I11" s="92"/>
      <c r="J11" s="93"/>
      <c r="K11" s="17"/>
      <c r="L11" s="12"/>
      <c r="M11" s="12"/>
      <c r="N11" s="13"/>
      <c r="O11" s="47"/>
      <c r="P11" s="97"/>
    </row>
    <row r="12" spans="1:16" s="56" customFormat="1" ht="38.25" x14ac:dyDescent="0.25">
      <c r="A12" s="49">
        <v>2</v>
      </c>
      <c r="B12" s="50" t="s">
        <v>43</v>
      </c>
      <c r="C12" s="51" t="s">
        <v>58</v>
      </c>
      <c r="D12" s="52" t="s">
        <v>59</v>
      </c>
      <c r="E12" s="53" t="s">
        <v>16</v>
      </c>
      <c r="F12" s="53" t="s">
        <v>18</v>
      </c>
      <c r="G12" s="54">
        <v>1</v>
      </c>
      <c r="H12" s="18">
        <f>H13</f>
        <v>1</v>
      </c>
      <c r="I12" s="94"/>
      <c r="J12" s="95"/>
      <c r="K12" s="19">
        <f>J12</f>
        <v>0</v>
      </c>
      <c r="L12" s="19"/>
      <c r="M12" s="19">
        <f>H12*J12</f>
        <v>0</v>
      </c>
      <c r="N12" s="20">
        <f>M12</f>
        <v>0</v>
      </c>
      <c r="O12" s="55"/>
      <c r="P12" s="98" t="s">
        <v>48</v>
      </c>
    </row>
    <row r="13" spans="1:16" s="64" customFormat="1" ht="38.25" x14ac:dyDescent="0.25">
      <c r="A13" s="57">
        <v>3</v>
      </c>
      <c r="B13" s="58" t="s">
        <v>44</v>
      </c>
      <c r="C13" s="59"/>
      <c r="D13" s="60" t="s">
        <v>135</v>
      </c>
      <c r="E13" s="61" t="s">
        <v>17</v>
      </c>
      <c r="F13" s="61" t="s">
        <v>18</v>
      </c>
      <c r="G13" s="62">
        <v>1</v>
      </c>
      <c r="H13" s="8">
        <v>1</v>
      </c>
      <c r="I13" s="9"/>
      <c r="J13" s="10"/>
      <c r="K13" s="6">
        <f>I13</f>
        <v>0</v>
      </c>
      <c r="L13" s="6">
        <f>H13*I13</f>
        <v>0</v>
      </c>
      <c r="M13" s="6"/>
      <c r="N13" s="7">
        <f>L13</f>
        <v>0</v>
      </c>
      <c r="O13" s="63"/>
      <c r="P13" s="99"/>
    </row>
    <row r="14" spans="1:16" s="56" customFormat="1" ht="38.25" x14ac:dyDescent="0.25">
      <c r="A14" s="49">
        <v>4</v>
      </c>
      <c r="B14" s="50" t="s">
        <v>43</v>
      </c>
      <c r="C14" s="51" t="s">
        <v>58</v>
      </c>
      <c r="D14" s="52" t="s">
        <v>59</v>
      </c>
      <c r="E14" s="53" t="s">
        <v>16</v>
      </c>
      <c r="F14" s="53" t="s">
        <v>70</v>
      </c>
      <c r="G14" s="54">
        <v>1</v>
      </c>
      <c r="H14" s="18">
        <f>H15</f>
        <v>14.36</v>
      </c>
      <c r="I14" s="94"/>
      <c r="J14" s="95"/>
      <c r="K14" s="19">
        <f>J14</f>
        <v>0</v>
      </c>
      <c r="L14" s="19"/>
      <c r="M14" s="19">
        <f>H14*J14</f>
        <v>0</v>
      </c>
      <c r="N14" s="20">
        <f>M14</f>
        <v>0</v>
      </c>
      <c r="O14" s="55"/>
      <c r="P14" s="98" t="s">
        <v>67</v>
      </c>
    </row>
    <row r="15" spans="1:16" s="64" customFormat="1" ht="38.25" x14ac:dyDescent="0.25">
      <c r="A15" s="57">
        <v>5</v>
      </c>
      <c r="B15" s="58" t="s">
        <v>44</v>
      </c>
      <c r="C15" s="59"/>
      <c r="D15" s="60" t="s">
        <v>145</v>
      </c>
      <c r="E15" s="61" t="s">
        <v>17</v>
      </c>
      <c r="F15" s="61" t="s">
        <v>70</v>
      </c>
      <c r="G15" s="62">
        <v>1</v>
      </c>
      <c r="H15" s="8">
        <f>ROUND(1.3+1.25+3.936+2.635+1.245+3.997,2)</f>
        <v>14.36</v>
      </c>
      <c r="I15" s="9"/>
      <c r="J15" s="10"/>
      <c r="K15" s="6">
        <f>I15</f>
        <v>0</v>
      </c>
      <c r="L15" s="6">
        <f>H15*I15</f>
        <v>0</v>
      </c>
      <c r="M15" s="6"/>
      <c r="N15" s="7">
        <f>L15</f>
        <v>0</v>
      </c>
      <c r="O15" s="63"/>
      <c r="P15" s="99"/>
    </row>
    <row r="16" spans="1:16" s="56" customFormat="1" ht="38.25" x14ac:dyDescent="0.25">
      <c r="A16" s="49">
        <v>6</v>
      </c>
      <c r="B16" s="50" t="s">
        <v>43</v>
      </c>
      <c r="C16" s="51" t="s">
        <v>63</v>
      </c>
      <c r="D16" s="52" t="s">
        <v>62</v>
      </c>
      <c r="E16" s="53" t="s">
        <v>16</v>
      </c>
      <c r="F16" s="53" t="s">
        <v>70</v>
      </c>
      <c r="G16" s="54">
        <v>1</v>
      </c>
      <c r="H16" s="18">
        <f>ROUND(5+3.48+3.78+4.29+4.37+1.56+0.81,2)</f>
        <v>23.29</v>
      </c>
      <c r="I16" s="94"/>
      <c r="J16" s="95"/>
      <c r="K16" s="19">
        <f>J16</f>
        <v>0</v>
      </c>
      <c r="L16" s="19"/>
      <c r="M16" s="19">
        <f>H16*J16</f>
        <v>0</v>
      </c>
      <c r="N16" s="20">
        <f>M16</f>
        <v>0</v>
      </c>
      <c r="O16" s="55"/>
      <c r="P16" s="98" t="s">
        <v>46</v>
      </c>
    </row>
    <row r="17" spans="1:16" s="64" customFormat="1" ht="76.5" x14ac:dyDescent="0.25">
      <c r="A17" s="57">
        <v>7</v>
      </c>
      <c r="B17" s="58" t="s">
        <v>44</v>
      </c>
      <c r="C17" s="59"/>
      <c r="D17" s="65" t="s">
        <v>136</v>
      </c>
      <c r="E17" s="61" t="s">
        <v>17</v>
      </c>
      <c r="F17" s="61" t="s">
        <v>71</v>
      </c>
      <c r="G17" s="62">
        <v>1</v>
      </c>
      <c r="H17" s="103">
        <f>ROUND((0.0017+0.03925*0.015*1)*5,3)</f>
        <v>1.0999999999999999E-2</v>
      </c>
      <c r="I17" s="9"/>
      <c r="J17" s="96"/>
      <c r="K17" s="6">
        <f t="shared" ref="K17" si="0">I17</f>
        <v>0</v>
      </c>
      <c r="L17" s="6">
        <f t="shared" ref="L17" si="1">H17*I17</f>
        <v>0</v>
      </c>
      <c r="M17" s="6"/>
      <c r="N17" s="7">
        <f t="shared" ref="N17" si="2">L17</f>
        <v>0</v>
      </c>
      <c r="O17" s="63"/>
      <c r="P17" s="99"/>
    </row>
    <row r="18" spans="1:16" s="64" customFormat="1" ht="102" x14ac:dyDescent="0.25">
      <c r="A18" s="57">
        <v>8</v>
      </c>
      <c r="B18" s="58" t="s">
        <v>44</v>
      </c>
      <c r="C18" s="59"/>
      <c r="D18" s="65" t="s">
        <v>137</v>
      </c>
      <c r="E18" s="61" t="s">
        <v>17</v>
      </c>
      <c r="F18" s="61" t="s">
        <v>71</v>
      </c>
      <c r="G18" s="62">
        <v>1</v>
      </c>
      <c r="H18" s="103">
        <f>ROUND((0.0017+0.0017+1.35*4*0.00139+1.35*6*0.001075+0.03925*0.015*4)*3.48,3)</f>
        <v>7.5999999999999998E-2</v>
      </c>
      <c r="I18" s="9"/>
      <c r="J18" s="96"/>
      <c r="K18" s="6">
        <f t="shared" ref="K18:K23" si="3">I18</f>
        <v>0</v>
      </c>
      <c r="L18" s="6">
        <f t="shared" ref="L18:L23" si="4">H18*I18</f>
        <v>0</v>
      </c>
      <c r="M18" s="6"/>
      <c r="N18" s="7">
        <f t="shared" ref="N18:N23" si="5">L18</f>
        <v>0</v>
      </c>
      <c r="O18" s="63"/>
      <c r="P18" s="99"/>
    </row>
    <row r="19" spans="1:16" s="64" customFormat="1" ht="102" x14ac:dyDescent="0.25">
      <c r="A19" s="57">
        <v>9</v>
      </c>
      <c r="B19" s="58" t="s">
        <v>44</v>
      </c>
      <c r="C19" s="59"/>
      <c r="D19" s="65" t="s">
        <v>138</v>
      </c>
      <c r="E19" s="61" t="s">
        <v>17</v>
      </c>
      <c r="F19" s="61" t="s">
        <v>71</v>
      </c>
      <c r="G19" s="62">
        <v>1</v>
      </c>
      <c r="H19" s="103">
        <f>ROUND((0.0017+0.0017+1.35*4*0.00139+1.35*6*0.001075+0.03925*0.015*4)*3.78,3)</f>
        <v>8.3000000000000004E-2</v>
      </c>
      <c r="I19" s="9"/>
      <c r="J19" s="96"/>
      <c r="K19" s="6">
        <f t="shared" si="3"/>
        <v>0</v>
      </c>
      <c r="L19" s="6">
        <f t="shared" si="4"/>
        <v>0</v>
      </c>
      <c r="M19" s="6"/>
      <c r="N19" s="7">
        <f t="shared" si="5"/>
        <v>0</v>
      </c>
      <c r="O19" s="63"/>
      <c r="P19" s="99"/>
    </row>
    <row r="20" spans="1:16" s="64" customFormat="1" ht="102" x14ac:dyDescent="0.25">
      <c r="A20" s="57">
        <v>10</v>
      </c>
      <c r="B20" s="58" t="s">
        <v>44</v>
      </c>
      <c r="C20" s="59"/>
      <c r="D20" s="65" t="s">
        <v>139</v>
      </c>
      <c r="E20" s="61" t="s">
        <v>17</v>
      </c>
      <c r="F20" s="61" t="s">
        <v>71</v>
      </c>
      <c r="G20" s="62">
        <v>1</v>
      </c>
      <c r="H20" s="103">
        <f>ROUND((0.0017+0.0017+1.35*4*0.00139+1.35*6*0.001075+0.03925*0.015*4)*4.29,3)</f>
        <v>9.4E-2</v>
      </c>
      <c r="I20" s="9"/>
      <c r="J20" s="96"/>
      <c r="K20" s="6">
        <f t="shared" si="3"/>
        <v>0</v>
      </c>
      <c r="L20" s="6">
        <f t="shared" si="4"/>
        <v>0</v>
      </c>
      <c r="M20" s="6"/>
      <c r="N20" s="7">
        <f t="shared" si="5"/>
        <v>0</v>
      </c>
      <c r="O20" s="63"/>
      <c r="P20" s="99"/>
    </row>
    <row r="21" spans="1:16" s="64" customFormat="1" ht="102" x14ac:dyDescent="0.25">
      <c r="A21" s="57">
        <v>11</v>
      </c>
      <c r="B21" s="58" t="s">
        <v>44</v>
      </c>
      <c r="C21" s="59"/>
      <c r="D21" s="65" t="s">
        <v>140</v>
      </c>
      <c r="E21" s="61" t="s">
        <v>17</v>
      </c>
      <c r="F21" s="61" t="s">
        <v>71</v>
      </c>
      <c r="G21" s="62">
        <v>1</v>
      </c>
      <c r="H21" s="103">
        <f>ROUND((0.0017+0.0017+1.35*4*0.00139+1.35*6*0.001075+0.03925*0.015*4)*4.37,3)</f>
        <v>9.6000000000000002E-2</v>
      </c>
      <c r="I21" s="9"/>
      <c r="J21" s="96"/>
      <c r="K21" s="6">
        <f>I21</f>
        <v>0</v>
      </c>
      <c r="L21" s="6">
        <f t="shared" si="4"/>
        <v>0</v>
      </c>
      <c r="M21" s="6"/>
      <c r="N21" s="7">
        <f>L21</f>
        <v>0</v>
      </c>
      <c r="O21" s="63"/>
      <c r="P21" s="99"/>
    </row>
    <row r="22" spans="1:16" s="64" customFormat="1" ht="102" x14ac:dyDescent="0.25">
      <c r="A22" s="57">
        <v>12</v>
      </c>
      <c r="B22" s="58" t="s">
        <v>44</v>
      </c>
      <c r="C22" s="59"/>
      <c r="D22" s="65" t="s">
        <v>141</v>
      </c>
      <c r="E22" s="61" t="s">
        <v>17</v>
      </c>
      <c r="F22" s="61" t="s">
        <v>71</v>
      </c>
      <c r="G22" s="62">
        <v>1</v>
      </c>
      <c r="H22" s="103">
        <f>ROUND((0.0017+0.0017+1.35*4*0.00139+1.35*6*0.001075+0.03925*0.015*4)*1.56,3)</f>
        <v>3.4000000000000002E-2</v>
      </c>
      <c r="I22" s="9"/>
      <c r="J22" s="96"/>
      <c r="K22" s="6">
        <f t="shared" si="3"/>
        <v>0</v>
      </c>
      <c r="L22" s="6">
        <f t="shared" si="4"/>
        <v>0</v>
      </c>
      <c r="M22" s="6"/>
      <c r="N22" s="7">
        <f t="shared" si="5"/>
        <v>0</v>
      </c>
      <c r="O22" s="63"/>
      <c r="P22" s="99"/>
    </row>
    <row r="23" spans="1:16" s="64" customFormat="1" ht="102" x14ac:dyDescent="0.25">
      <c r="A23" s="57">
        <v>13</v>
      </c>
      <c r="B23" s="58" t="s">
        <v>44</v>
      </c>
      <c r="C23" s="59"/>
      <c r="D23" s="65" t="s">
        <v>142</v>
      </c>
      <c r="E23" s="61" t="s">
        <v>17</v>
      </c>
      <c r="F23" s="61" t="s">
        <v>71</v>
      </c>
      <c r="G23" s="62">
        <v>1</v>
      </c>
      <c r="H23" s="103">
        <f>ROUND((0.0017+1.35*2*0.001075)*0.81,3)</f>
        <v>4.0000000000000001E-3</v>
      </c>
      <c r="I23" s="9"/>
      <c r="J23" s="96"/>
      <c r="K23" s="6">
        <f t="shared" si="3"/>
        <v>0</v>
      </c>
      <c r="L23" s="6">
        <f t="shared" si="4"/>
        <v>0</v>
      </c>
      <c r="M23" s="6"/>
      <c r="N23" s="7">
        <f t="shared" si="5"/>
        <v>0</v>
      </c>
      <c r="O23" s="63"/>
      <c r="P23" s="99"/>
    </row>
    <row r="24" spans="1:16" s="56" customFormat="1" ht="38.25" x14ac:dyDescent="0.25">
      <c r="A24" s="49">
        <v>14</v>
      </c>
      <c r="B24" s="50" t="s">
        <v>43</v>
      </c>
      <c r="C24" s="51" t="s">
        <v>63</v>
      </c>
      <c r="D24" s="52" t="s">
        <v>62</v>
      </c>
      <c r="E24" s="53" t="s">
        <v>16</v>
      </c>
      <c r="F24" s="53" t="s">
        <v>70</v>
      </c>
      <c r="G24" s="54">
        <v>1</v>
      </c>
      <c r="H24" s="18">
        <f>SUM(H25:H26)</f>
        <v>304.7</v>
      </c>
      <c r="I24" s="94"/>
      <c r="J24" s="95"/>
      <c r="K24" s="19">
        <f>J24</f>
        <v>0</v>
      </c>
      <c r="L24" s="19"/>
      <c r="M24" s="19">
        <f>H24*J24</f>
        <v>0</v>
      </c>
      <c r="N24" s="20">
        <f>M24</f>
        <v>0</v>
      </c>
      <c r="O24" s="55"/>
      <c r="P24" s="98" t="s">
        <v>68</v>
      </c>
    </row>
    <row r="25" spans="1:16" s="64" customFormat="1" ht="38.25" x14ac:dyDescent="0.25">
      <c r="A25" s="57">
        <v>15</v>
      </c>
      <c r="B25" s="58" t="s">
        <v>44</v>
      </c>
      <c r="C25" s="59"/>
      <c r="D25" s="65" t="s">
        <v>143</v>
      </c>
      <c r="E25" s="61" t="s">
        <v>17</v>
      </c>
      <c r="F25" s="61" t="s">
        <v>70</v>
      </c>
      <c r="G25" s="62">
        <v>1</v>
      </c>
      <c r="H25" s="8">
        <v>285.3</v>
      </c>
      <c r="I25" s="9"/>
      <c r="J25" s="10"/>
      <c r="K25" s="6">
        <f t="shared" ref="K25:K26" si="6">I25</f>
        <v>0</v>
      </c>
      <c r="L25" s="6">
        <f>H25*I25</f>
        <v>0</v>
      </c>
      <c r="M25" s="6"/>
      <c r="N25" s="7">
        <f t="shared" ref="N25:N26" si="7">L25</f>
        <v>0</v>
      </c>
      <c r="O25" s="63"/>
      <c r="P25" s="99"/>
    </row>
    <row r="26" spans="1:16" s="64" customFormat="1" ht="39" thickBot="1" x14ac:dyDescent="0.3">
      <c r="A26" s="57">
        <v>16</v>
      </c>
      <c r="B26" s="58" t="s">
        <v>44</v>
      </c>
      <c r="C26" s="59"/>
      <c r="D26" s="65" t="s">
        <v>144</v>
      </c>
      <c r="E26" s="61" t="s">
        <v>17</v>
      </c>
      <c r="F26" s="61" t="s">
        <v>70</v>
      </c>
      <c r="G26" s="62">
        <v>1</v>
      </c>
      <c r="H26" s="8">
        <v>19.399999999999999</v>
      </c>
      <c r="I26" s="9"/>
      <c r="J26" s="10"/>
      <c r="K26" s="6">
        <f t="shared" si="6"/>
        <v>0</v>
      </c>
      <c r="L26" s="6">
        <f>H26*I26</f>
        <v>0</v>
      </c>
      <c r="M26" s="6"/>
      <c r="N26" s="7">
        <f t="shared" si="7"/>
        <v>0</v>
      </c>
      <c r="O26" s="63"/>
      <c r="P26" s="100"/>
    </row>
    <row r="27" spans="1:16" x14ac:dyDescent="0.25">
      <c r="A27" s="25"/>
      <c r="B27" s="16"/>
      <c r="C27" s="1"/>
      <c r="D27" s="2" t="s">
        <v>19</v>
      </c>
      <c r="E27" s="1"/>
      <c r="F27" s="1"/>
      <c r="G27" s="1"/>
      <c r="H27" s="15"/>
      <c r="I27" s="14"/>
      <c r="J27" s="3"/>
      <c r="K27" s="3"/>
      <c r="L27" s="4">
        <f>SUM(L11:L26)</f>
        <v>0</v>
      </c>
      <c r="M27" s="4">
        <f>SUM(M11:M26)</f>
        <v>0</v>
      </c>
      <c r="N27" s="5">
        <f>SUM(N11:N26)</f>
        <v>0</v>
      </c>
      <c r="O27" s="30"/>
      <c r="P27" s="33"/>
    </row>
    <row r="28" spans="1:16" x14ac:dyDescent="0.25">
      <c r="A28" s="131"/>
      <c r="B28" s="132"/>
      <c r="C28" s="69"/>
      <c r="D28" s="2" t="s">
        <v>35</v>
      </c>
      <c r="E28" s="1"/>
      <c r="F28" s="1"/>
      <c r="G28" s="1"/>
      <c r="H28" s="70"/>
      <c r="I28" s="71"/>
      <c r="J28" s="72"/>
      <c r="K28" s="72"/>
      <c r="L28" s="4"/>
      <c r="M28" s="4"/>
      <c r="N28" s="5">
        <f>N27/1.22*0.22</f>
        <v>0</v>
      </c>
      <c r="O28" s="30"/>
      <c r="P28" s="33"/>
    </row>
    <row r="29" spans="1:16" x14ac:dyDescent="0.25">
      <c r="A29" s="73" t="s">
        <v>20</v>
      </c>
      <c r="B29" s="74"/>
      <c r="C29" s="74"/>
      <c r="D29" s="74"/>
      <c r="E29" s="74"/>
      <c r="F29" s="74"/>
      <c r="G29" s="74"/>
      <c r="H29" s="75"/>
      <c r="I29" s="76"/>
      <c r="J29" s="76"/>
      <c r="K29" s="77"/>
      <c r="L29" s="77"/>
      <c r="M29" s="77"/>
      <c r="N29" s="78"/>
      <c r="O29" s="30"/>
      <c r="P29" s="33"/>
    </row>
    <row r="30" spans="1:16" x14ac:dyDescent="0.25">
      <c r="A30" s="137">
        <v>1</v>
      </c>
      <c r="B30" s="138"/>
      <c r="C30" s="79"/>
      <c r="D30" s="80" t="s">
        <v>21</v>
      </c>
      <c r="E30" s="108"/>
      <c r="F30" s="109"/>
      <c r="G30" s="109"/>
      <c r="H30" s="110"/>
      <c r="I30" s="111"/>
      <c r="J30" s="112"/>
      <c r="K30" s="113"/>
      <c r="L30" s="113"/>
      <c r="M30" s="113"/>
      <c r="N30" s="114"/>
      <c r="O30" s="30"/>
      <c r="P30" s="30"/>
    </row>
    <row r="31" spans="1:16" ht="30" customHeight="1" x14ac:dyDescent="0.25">
      <c r="A31" s="135">
        <v>2</v>
      </c>
      <c r="B31" s="136"/>
      <c r="C31" s="104"/>
      <c r="D31" s="81" t="s">
        <v>22</v>
      </c>
      <c r="E31" s="115"/>
      <c r="F31" s="116"/>
      <c r="G31" s="116"/>
      <c r="H31" s="117"/>
      <c r="I31" s="111"/>
      <c r="J31" s="112"/>
      <c r="K31" s="113"/>
      <c r="L31" s="113"/>
      <c r="M31" s="113"/>
      <c r="N31" s="114"/>
      <c r="O31" s="30"/>
      <c r="P31" s="33"/>
    </row>
    <row r="32" spans="1:16" x14ac:dyDescent="0.25">
      <c r="A32" s="135">
        <v>3</v>
      </c>
      <c r="B32" s="136"/>
      <c r="C32" s="79"/>
      <c r="D32" s="81" t="s">
        <v>23</v>
      </c>
      <c r="E32" s="115"/>
      <c r="F32" s="116"/>
      <c r="G32" s="116"/>
      <c r="H32" s="117"/>
      <c r="I32" s="111"/>
      <c r="J32" s="112"/>
      <c r="K32" s="113"/>
      <c r="L32" s="113"/>
      <c r="M32" s="113"/>
      <c r="N32" s="114"/>
      <c r="O32" s="30"/>
      <c r="P32" s="33"/>
    </row>
    <row r="33" spans="1:16" ht="25.5" x14ac:dyDescent="0.25">
      <c r="A33" s="135">
        <v>4</v>
      </c>
      <c r="B33" s="136"/>
      <c r="C33" s="104"/>
      <c r="D33" s="81" t="s">
        <v>24</v>
      </c>
      <c r="E33" s="115"/>
      <c r="F33" s="116"/>
      <c r="G33" s="116"/>
      <c r="H33" s="117"/>
      <c r="I33" s="111"/>
      <c r="J33" s="112"/>
      <c r="K33" s="113"/>
      <c r="L33" s="113"/>
      <c r="M33" s="113"/>
      <c r="N33" s="114"/>
      <c r="O33" s="30"/>
      <c r="P33" s="33"/>
    </row>
    <row r="34" spans="1:16" ht="25.5" x14ac:dyDescent="0.25">
      <c r="A34" s="135">
        <v>5</v>
      </c>
      <c r="B34" s="136"/>
      <c r="C34" s="79"/>
      <c r="D34" s="81" t="s">
        <v>25</v>
      </c>
      <c r="E34" s="115"/>
      <c r="F34" s="116"/>
      <c r="G34" s="116"/>
      <c r="H34" s="117"/>
      <c r="I34" s="111"/>
      <c r="J34" s="112"/>
      <c r="K34" s="113"/>
      <c r="L34" s="113"/>
      <c r="M34" s="113"/>
      <c r="N34" s="114"/>
      <c r="O34" s="30"/>
      <c r="P34" s="30"/>
    </row>
    <row r="35" spans="1:16" x14ac:dyDescent="0.25">
      <c r="A35" s="135">
        <v>6</v>
      </c>
      <c r="B35" s="136"/>
      <c r="C35" s="104"/>
      <c r="D35" s="81" t="s">
        <v>26</v>
      </c>
      <c r="E35" s="115"/>
      <c r="F35" s="116"/>
      <c r="G35" s="116"/>
      <c r="H35" s="117"/>
      <c r="I35" s="111"/>
      <c r="J35" s="112"/>
      <c r="K35" s="113"/>
      <c r="L35" s="113"/>
      <c r="M35" s="113"/>
      <c r="N35" s="114"/>
      <c r="O35" s="30"/>
      <c r="P35" s="33"/>
    </row>
    <row r="36" spans="1:16" x14ac:dyDescent="0.25">
      <c r="A36" s="135">
        <v>7</v>
      </c>
      <c r="B36" s="136"/>
      <c r="C36" s="79"/>
      <c r="D36" s="81" t="s">
        <v>27</v>
      </c>
      <c r="E36" s="115"/>
      <c r="F36" s="116"/>
      <c r="G36" s="116"/>
      <c r="H36" s="117"/>
      <c r="I36" s="111"/>
      <c r="J36" s="112"/>
      <c r="K36" s="113"/>
      <c r="L36" s="113"/>
      <c r="M36" s="113"/>
      <c r="N36" s="114"/>
      <c r="O36" s="30"/>
      <c r="P36" s="33"/>
    </row>
    <row r="37" spans="1:16" x14ac:dyDescent="0.25">
      <c r="A37" s="135">
        <v>8</v>
      </c>
      <c r="B37" s="136"/>
      <c r="C37" s="104"/>
      <c r="D37" s="81" t="s">
        <v>28</v>
      </c>
      <c r="E37" s="115"/>
      <c r="F37" s="116"/>
      <c r="G37" s="116"/>
      <c r="H37" s="117"/>
      <c r="I37" s="111"/>
      <c r="J37" s="112"/>
      <c r="K37" s="113"/>
      <c r="L37" s="113"/>
      <c r="M37" s="113"/>
      <c r="N37" s="114"/>
      <c r="O37" s="30"/>
      <c r="P37" s="33"/>
    </row>
    <row r="38" spans="1:16" x14ac:dyDescent="0.25">
      <c r="A38" s="135">
        <v>9</v>
      </c>
      <c r="B38" s="136"/>
      <c r="C38" s="79"/>
      <c r="D38" s="81" t="s">
        <v>29</v>
      </c>
      <c r="E38" s="115"/>
      <c r="F38" s="116"/>
      <c r="G38" s="116"/>
      <c r="H38" s="117"/>
      <c r="I38" s="111"/>
      <c r="J38" s="112"/>
      <c r="K38" s="113"/>
      <c r="L38" s="113"/>
      <c r="M38" s="113"/>
      <c r="N38" s="114"/>
      <c r="O38" s="30"/>
      <c r="P38" s="30"/>
    </row>
    <row r="39" spans="1:16" ht="25.5" x14ac:dyDescent="0.25">
      <c r="A39" s="135">
        <v>10</v>
      </c>
      <c r="B39" s="136"/>
      <c r="C39" s="104"/>
      <c r="D39" s="82" t="s">
        <v>30</v>
      </c>
      <c r="E39" s="118"/>
      <c r="F39" s="116"/>
      <c r="G39" s="116"/>
      <c r="H39" s="117"/>
      <c r="I39" s="111"/>
      <c r="J39" s="112"/>
      <c r="K39" s="113"/>
      <c r="L39" s="113"/>
      <c r="M39" s="113"/>
      <c r="N39" s="114"/>
      <c r="O39" s="30"/>
      <c r="P39" s="33"/>
    </row>
    <row r="40" spans="1:16" ht="15.75" thickBot="1" x14ac:dyDescent="0.3">
      <c r="A40" s="133">
        <v>11</v>
      </c>
      <c r="B40" s="134"/>
      <c r="C40" s="83"/>
      <c r="D40" s="84" t="s">
        <v>31</v>
      </c>
      <c r="E40" s="119"/>
      <c r="F40" s="120"/>
      <c r="G40" s="120"/>
      <c r="H40" s="121"/>
      <c r="I40" s="122"/>
      <c r="J40" s="123"/>
      <c r="K40" s="124"/>
      <c r="L40" s="124"/>
      <c r="M40" s="124"/>
      <c r="N40" s="125"/>
      <c r="O40" s="30"/>
      <c r="P40" s="33"/>
    </row>
    <row r="41" spans="1:16" x14ac:dyDescent="0.25">
      <c r="A41" s="85"/>
      <c r="B41" s="85"/>
      <c r="C41" s="86"/>
      <c r="D41" s="87"/>
      <c r="E41" s="85"/>
      <c r="F41" s="86"/>
      <c r="G41" s="86"/>
      <c r="H41" s="88"/>
      <c r="I41" s="86"/>
      <c r="J41" s="86"/>
      <c r="K41" s="89"/>
      <c r="L41" s="86"/>
      <c r="M41" s="86"/>
      <c r="N41" s="86"/>
      <c r="O41" s="30"/>
      <c r="P41" s="33"/>
    </row>
    <row r="42" spans="1:16" ht="96" customHeight="1" x14ac:dyDescent="0.25">
      <c r="A42" s="129" t="s">
        <v>65</v>
      </c>
      <c r="B42" s="129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30"/>
      <c r="P42" s="30"/>
    </row>
    <row r="43" spans="1:16" ht="47.25" customHeight="1" x14ac:dyDescent="0.25">
      <c r="A43" s="26"/>
      <c r="B43" s="26"/>
      <c r="C43" s="26"/>
      <c r="D43" s="27" t="s">
        <v>32</v>
      </c>
      <c r="E43" s="27"/>
      <c r="F43" s="27"/>
      <c r="G43" s="27"/>
      <c r="H43" s="27"/>
      <c r="I43" s="27"/>
      <c r="J43" s="28"/>
      <c r="K43" s="28"/>
      <c r="L43" s="90"/>
      <c r="M43" s="28"/>
      <c r="N43" s="91"/>
      <c r="O43" s="30"/>
      <c r="P43" s="33"/>
    </row>
  </sheetData>
  <sheetProtection autoFilter="0"/>
  <autoFilter ref="A10:P40" xr:uid="{DDD1B978-E3A6-4D02-8A22-02F935953CFF}"/>
  <mergeCells count="29">
    <mergeCell ref="N8:N9"/>
    <mergeCell ref="P8:P10"/>
    <mergeCell ref="A3:N3"/>
    <mergeCell ref="A4:N4"/>
    <mergeCell ref="A5:N5"/>
    <mergeCell ref="A8:A9"/>
    <mergeCell ref="B8:B9"/>
    <mergeCell ref="C8:C9"/>
    <mergeCell ref="D8:D9"/>
    <mergeCell ref="E8:E9"/>
    <mergeCell ref="F8:F9"/>
    <mergeCell ref="G8:G9"/>
    <mergeCell ref="A34:B34"/>
    <mergeCell ref="H8:H9"/>
    <mergeCell ref="I8:J8"/>
    <mergeCell ref="K8:K9"/>
    <mergeCell ref="L8:M8"/>
    <mergeCell ref="A28:B28"/>
    <mergeCell ref="A30:B30"/>
    <mergeCell ref="A31:B31"/>
    <mergeCell ref="A32:B32"/>
    <mergeCell ref="A33:B33"/>
    <mergeCell ref="A42:N42"/>
    <mergeCell ref="A35:B35"/>
    <mergeCell ref="A36:B36"/>
    <mergeCell ref="A37:B37"/>
    <mergeCell ref="A38:B38"/>
    <mergeCell ref="A39:B39"/>
    <mergeCell ref="A40:B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1А</vt:lpstr>
      <vt:lpstr>1Б</vt:lpstr>
      <vt:lpstr>2А</vt:lpstr>
      <vt:lpstr>2Б</vt:lpstr>
      <vt:lpstr>3А</vt:lpstr>
      <vt:lpstr>3Б</vt:lpstr>
      <vt:lpstr>3В</vt:lpstr>
      <vt:lpstr>4А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Буркова Екатерина Витальевна</dc:creator>
  <cp:lastModifiedBy>Екатерина Буркова</cp:lastModifiedBy>
  <cp:lastPrinted>2026-06-15T08:38:07Z</cp:lastPrinted>
  <dcterms:created xsi:type="dcterms:W3CDTF">2015-06-05T18:19:34Z</dcterms:created>
  <dcterms:modified xsi:type="dcterms:W3CDTF">2026-06-26T14:01:46Z</dcterms:modified>
</cp:coreProperties>
</file>