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s.voronyuk\Desktop\Аскуэ, видеонаблюдение,скуд\"/>
    </mc:Choice>
  </mc:AlternateContent>
  <xr:revisionPtr revIDLastSave="0" documentId="13_ncr:1_{FD454837-741E-41DD-A8C2-094612B77664}" xr6:coauthVersionLast="47" xr6:coauthVersionMax="47" xr10:uidLastSave="{00000000-0000-0000-0000-000000000000}"/>
  <bookViews>
    <workbookView xWindow="34365" yWindow="2175" windowWidth="21600" windowHeight="615" xr2:uid="{00000000-000D-0000-FFFF-FFFF00000000}"/>
  </bookViews>
  <sheets>
    <sheet name="Секция 2А,2Б" sheetId="8" r:id="rId1"/>
    <sheet name="Секция 1А,1Б,3А,3Б,3В,4А" sheetId="23" r:id="rId2"/>
    <sheet name="Лист5" sheetId="15" state="hidden" r:id="rId3"/>
    <sheet name="ВДЦ ал.окна" sheetId="3" state="hidden" r:id="rId4"/>
  </sheets>
  <definedNames>
    <definedName name="_xlnm._FilterDatabase" localSheetId="1" hidden="1">'Секция 1А,1Б,3А,3Б,3В,4А'!$I$10:$N$182</definedName>
    <definedName name="_xlnm._FilterDatabase" localSheetId="0" hidden="1">'Секция 2А,2Б'!$I$10:$N$89</definedName>
    <definedName name="Z_200FE767_226A_4241_904F_FDA0FE931B36_.wvu.Cols" localSheetId="1" hidden="1">'Секция 1А,1Б,3А,3Б,3В,4А'!$W:$Y</definedName>
    <definedName name="Z_200FE767_226A_4241_904F_FDA0FE931B36_.wvu.Cols" localSheetId="0" hidden="1">'Секция 2А,2Б'!$W:$Y</definedName>
    <definedName name="Z_200FE767_226A_4241_904F_FDA0FE931B36_.wvu.FilterData" localSheetId="1" hidden="1">'Секция 1А,1Б,3А,3Б,3В,4А'!$A$9:$O$169</definedName>
    <definedName name="Z_200FE767_226A_4241_904F_FDA0FE931B36_.wvu.FilterData" localSheetId="0" hidden="1">'Секция 2А,2Б'!$A$9:$O$76</definedName>
    <definedName name="Z_200FE767_226A_4241_904F_FDA0FE931B36_.wvu.PrintArea" localSheetId="3" hidden="1">'ВДЦ ал.окна'!$A$1:$M$42</definedName>
    <definedName name="Z_200FE767_226A_4241_904F_FDA0FE931B36_.wvu.PrintArea" localSheetId="1" hidden="1">'Секция 1А,1Б,3А,3Б,3В,4А'!$A$1:$AC$226</definedName>
    <definedName name="Z_200FE767_226A_4241_904F_FDA0FE931B36_.wvu.PrintArea" localSheetId="0" hidden="1">'Секция 2А,2Б'!$A$1:$AC$133</definedName>
    <definedName name="Z_26DDE955_10AE_4017_BEF2_9636EE8B03C2_.wvu.Cols" localSheetId="1" hidden="1">'Секция 1А,1Б,3А,3Б,3В,4А'!$W:$Y</definedName>
    <definedName name="Z_26DDE955_10AE_4017_BEF2_9636EE8B03C2_.wvu.Cols" localSheetId="0" hidden="1">'Секция 2А,2Б'!$W:$Y</definedName>
    <definedName name="Z_26DDE955_10AE_4017_BEF2_9636EE8B03C2_.wvu.FilterData" localSheetId="1" hidden="1">'Секция 1А,1Б,3А,3Б,3В,4А'!$A$9:$O$169</definedName>
    <definedName name="Z_26DDE955_10AE_4017_BEF2_9636EE8B03C2_.wvu.FilterData" localSheetId="0" hidden="1">'Секция 2А,2Б'!$A$9:$O$76</definedName>
    <definedName name="Z_26DDE955_10AE_4017_BEF2_9636EE8B03C2_.wvu.PrintArea" localSheetId="3" hidden="1">'ВДЦ ал.окна'!$A$1:$M$42</definedName>
    <definedName name="Z_26DDE955_10AE_4017_BEF2_9636EE8B03C2_.wvu.PrintArea" localSheetId="1" hidden="1">'Секция 1А,1Б,3А,3Б,3В,4А'!$A$1:$AC$226</definedName>
    <definedName name="Z_26DDE955_10AE_4017_BEF2_9636EE8B03C2_.wvu.PrintArea" localSheetId="0" hidden="1">'Секция 2А,2Б'!$A$1:$AC$133</definedName>
    <definedName name="Z_6504194F_9A24_4D91_A908_D5C52AD552E6_.wvu.Cols" localSheetId="1" hidden="1">'Секция 1А,1Б,3А,3Б,3В,4А'!$W:$Y</definedName>
    <definedName name="Z_6504194F_9A24_4D91_A908_D5C52AD552E6_.wvu.Cols" localSheetId="0" hidden="1">'Секция 2А,2Б'!$W:$Y</definedName>
    <definedName name="Z_6504194F_9A24_4D91_A908_D5C52AD552E6_.wvu.FilterData" localSheetId="1" hidden="1">'Секция 1А,1Б,3А,3Б,3В,4А'!$D$1:$D$173</definedName>
    <definedName name="Z_6504194F_9A24_4D91_A908_D5C52AD552E6_.wvu.FilterData" localSheetId="0" hidden="1">'Секция 2А,2Б'!$D$1:$D$80</definedName>
    <definedName name="Z_6504194F_9A24_4D91_A908_D5C52AD552E6_.wvu.PrintArea" localSheetId="3" hidden="1">'ВДЦ ал.окна'!$A$1:$M$42</definedName>
    <definedName name="Z_6504194F_9A24_4D91_A908_D5C52AD552E6_.wvu.PrintArea" localSheetId="1" hidden="1">'Секция 1А,1Б,3А,3Б,3В,4А'!$A$1:$AC$226</definedName>
    <definedName name="Z_6504194F_9A24_4D91_A908_D5C52AD552E6_.wvu.PrintArea" localSheetId="0" hidden="1">'Секция 2А,2Б'!$A$1:$AC$133</definedName>
    <definedName name="Z_FF4F19E7_4806_4777_BD61_949420C2DC9E_.wvu.FilterData" localSheetId="1" hidden="1">'Секция 1А,1Б,3А,3Б,3В,4А'!$A$9:$O$169</definedName>
    <definedName name="Z_FF4F19E7_4806_4777_BD61_949420C2DC9E_.wvu.FilterData" localSheetId="0" hidden="1">'Секция 2А,2Б'!$A$9:$O$76</definedName>
    <definedName name="Z_FF4F19E7_4806_4777_BD61_949420C2DC9E_.wvu.PrintArea" localSheetId="3" hidden="1">'ВДЦ ал.окна'!$A$1:$M$42</definedName>
    <definedName name="Z_FF4F19E7_4806_4777_BD61_949420C2DC9E_.wvu.PrintArea" localSheetId="1" hidden="1">'Секция 1А,1Б,3А,3Б,3В,4А'!$A$1:$AC$226</definedName>
    <definedName name="Z_FF4F19E7_4806_4777_BD61_949420C2DC9E_.wvu.PrintArea" localSheetId="0" hidden="1">'Секция 2А,2Б'!$A$1:$AC$133</definedName>
    <definedName name="_xlnm.Print_Area" localSheetId="3">'ВДЦ ал.окна'!$A$1:$M$42</definedName>
    <definedName name="_xlnm.Print_Area" localSheetId="1">'Секция 1А,1Б,3А,3Б,3В,4А'!$A$1:$P$182</definedName>
    <definedName name="_xlnm.Print_Area" localSheetId="0">'Секция 2А,2Б'!$A$1:$P$89</definedName>
  </definedNames>
  <calcPr calcId="191029"/>
  <customWorkbookViews>
    <customWorkbookView name="Никитина М.А. - Личное представление" guid="{26DDE955-10AE-4017-BEF2-9636EE8B03C2}" mergeInterval="0" personalView="1" maximized="1" xWindow="-8" yWindow="-8" windowWidth="1936" windowHeight="1056" activeSheetId="1"/>
    <customWorkbookView name="Максим Ермаков - Личное представление" guid="{FF4F19E7-4806-4777-BD61-949420C2DC9E}" mergeInterval="0" personalView="1" maximized="1" xWindow="1" yWindow="1" windowWidth="1920" windowHeight="850" activeSheetId="1"/>
    <customWorkbookView name="Анастасия Ермолаева - Личное представление" guid="{200FE767-226A-4241-904F-FDA0FE931B36}" mergeInterval="0" personalView="1" maximized="1" xWindow="-8" yWindow="-8" windowWidth="1936" windowHeight="1056" activeSheetId="1"/>
    <customWorkbookView name="Козловская Юлия - Личное представление" guid="{6504194F-9A24-4D91-A908-D5C52AD552E6}" mergeInterval="0" personalView="1" xWindow="2050" yWindow="130" windowWidth="1440" windowHeight="759" activeSheetId="1"/>
  </customWorkbookViews>
</workbook>
</file>

<file path=xl/calcChain.xml><?xml version="1.0" encoding="utf-8"?>
<calcChain xmlns="http://schemas.openxmlformats.org/spreadsheetml/2006/main">
  <c r="K66" i="8" l="1"/>
  <c r="K58" i="23"/>
  <c r="K22" i="23"/>
  <c r="H165" i="23"/>
  <c r="L165" i="23" s="1"/>
  <c r="N165" i="23" s="1"/>
  <c r="H163" i="23"/>
  <c r="M163" i="23" s="1"/>
  <c r="N163" i="23" s="1"/>
  <c r="H164" i="23"/>
  <c r="L164" i="23" s="1"/>
  <c r="N164" i="23" s="1"/>
  <c r="H159" i="23"/>
  <c r="M168" i="23"/>
  <c r="N168" i="23" s="1"/>
  <c r="K168" i="23"/>
  <c r="K165" i="23"/>
  <c r="K164" i="23"/>
  <c r="K163" i="23"/>
  <c r="K162" i="23"/>
  <c r="H162" i="23"/>
  <c r="L162" i="23" s="1"/>
  <c r="N162" i="23" s="1"/>
  <c r="K161" i="23"/>
  <c r="H161" i="23"/>
  <c r="M161" i="23" s="1"/>
  <c r="N161" i="23" s="1"/>
  <c r="K160" i="23"/>
  <c r="K159" i="23"/>
  <c r="H160" i="23"/>
  <c r="L160" i="23" s="1"/>
  <c r="N160" i="23" s="1"/>
  <c r="K158" i="23"/>
  <c r="H158" i="23"/>
  <c r="M158" i="23" s="1"/>
  <c r="N158" i="23" s="1"/>
  <c r="K155" i="23"/>
  <c r="H155" i="23"/>
  <c r="L155" i="23" s="1"/>
  <c r="N155" i="23" s="1"/>
  <c r="K154" i="23"/>
  <c r="H154" i="23"/>
  <c r="M154" i="23" s="1"/>
  <c r="N154" i="23" s="1"/>
  <c r="K153" i="23"/>
  <c r="H153" i="23"/>
  <c r="L153" i="23" s="1"/>
  <c r="N153" i="23" s="1"/>
  <c r="K152" i="23"/>
  <c r="H152" i="23"/>
  <c r="L152" i="23" s="1"/>
  <c r="N152" i="23" s="1"/>
  <c r="K151" i="23"/>
  <c r="H151" i="23"/>
  <c r="L151" i="23" s="1"/>
  <c r="N151" i="23" s="1"/>
  <c r="M150" i="23"/>
  <c r="N150" i="23" s="1"/>
  <c r="K150" i="23"/>
  <c r="K149" i="23"/>
  <c r="H149" i="23"/>
  <c r="L149" i="23" s="1"/>
  <c r="N149" i="23" s="1"/>
  <c r="K148" i="23"/>
  <c r="H148" i="23"/>
  <c r="M148" i="23" s="1"/>
  <c r="N148" i="23" s="1"/>
  <c r="L133" i="23"/>
  <c r="N133" i="23" s="1"/>
  <c r="K133" i="23"/>
  <c r="M132" i="23"/>
  <c r="N132" i="23" s="1"/>
  <c r="K132" i="23"/>
  <c r="K131" i="23"/>
  <c r="H131" i="23"/>
  <c r="L131" i="23" s="1"/>
  <c r="N131" i="23" s="1"/>
  <c r="K130" i="23"/>
  <c r="H130" i="23"/>
  <c r="M130" i="23" s="1"/>
  <c r="N130" i="23" s="1"/>
  <c r="K129" i="23"/>
  <c r="H129" i="23"/>
  <c r="L129" i="23" s="1"/>
  <c r="N129" i="23" s="1"/>
  <c r="K128" i="23"/>
  <c r="H128" i="23"/>
  <c r="M128" i="23" s="1"/>
  <c r="N128" i="23" s="1"/>
  <c r="K127" i="23"/>
  <c r="K126" i="23"/>
  <c r="H126" i="23"/>
  <c r="H127" i="23" s="1"/>
  <c r="L127" i="23" s="1"/>
  <c r="N127" i="23" s="1"/>
  <c r="K125" i="23"/>
  <c r="H125" i="23"/>
  <c r="M125" i="23" s="1"/>
  <c r="N125" i="23" s="1"/>
  <c r="K122" i="23"/>
  <c r="H122" i="23"/>
  <c r="L122" i="23" s="1"/>
  <c r="N122" i="23" s="1"/>
  <c r="K121" i="23"/>
  <c r="H121" i="23"/>
  <c r="M121" i="23" s="1"/>
  <c r="N121" i="23" s="1"/>
  <c r="K120" i="23"/>
  <c r="H120" i="23"/>
  <c r="L120" i="23" s="1"/>
  <c r="N120" i="23" s="1"/>
  <c r="K119" i="23"/>
  <c r="H119" i="23"/>
  <c r="L119" i="23" s="1"/>
  <c r="N119" i="23" s="1"/>
  <c r="K118" i="23"/>
  <c r="H118" i="23"/>
  <c r="L118" i="23" s="1"/>
  <c r="N118" i="23" s="1"/>
  <c r="M117" i="23"/>
  <c r="N117" i="23" s="1"/>
  <c r="K117" i="23"/>
  <c r="K116" i="23"/>
  <c r="H116" i="23"/>
  <c r="L116" i="23" s="1"/>
  <c r="N116" i="23" s="1"/>
  <c r="K115" i="23"/>
  <c r="H115" i="23"/>
  <c r="M115" i="23" s="1"/>
  <c r="N115" i="23" s="1"/>
  <c r="K114" i="23"/>
  <c r="H114" i="23"/>
  <c r="L114" i="23" s="1"/>
  <c r="N114" i="23" s="1"/>
  <c r="K113" i="23"/>
  <c r="H113" i="23"/>
  <c r="M113" i="23" s="1"/>
  <c r="N113" i="23" s="1"/>
  <c r="K112" i="23"/>
  <c r="H112" i="23"/>
  <c r="L112" i="23" s="1"/>
  <c r="N112" i="23" s="1"/>
  <c r="K111" i="23"/>
  <c r="H111" i="23"/>
  <c r="M111" i="23" s="1"/>
  <c r="N111" i="23" s="1"/>
  <c r="K110" i="23"/>
  <c r="K109" i="23"/>
  <c r="H109" i="23"/>
  <c r="H110" i="23" s="1"/>
  <c r="L110" i="23" s="1"/>
  <c r="N110" i="23" s="1"/>
  <c r="K108" i="23"/>
  <c r="H108" i="23"/>
  <c r="M108" i="23" s="1"/>
  <c r="N108" i="23" s="1"/>
  <c r="K105" i="23"/>
  <c r="H105" i="23"/>
  <c r="L105" i="23" s="1"/>
  <c r="N105" i="23" s="1"/>
  <c r="K104" i="23"/>
  <c r="H104" i="23"/>
  <c r="M104" i="23" s="1"/>
  <c r="N104" i="23" s="1"/>
  <c r="K103" i="23"/>
  <c r="H103" i="23"/>
  <c r="L103" i="23" s="1"/>
  <c r="N103" i="23" s="1"/>
  <c r="K102" i="23"/>
  <c r="H102" i="23"/>
  <c r="L102" i="23" s="1"/>
  <c r="N102" i="23" s="1"/>
  <c r="K101" i="23"/>
  <c r="H101" i="23"/>
  <c r="L101" i="23" s="1"/>
  <c r="N101" i="23" s="1"/>
  <c r="M100" i="23"/>
  <c r="N100" i="23" s="1"/>
  <c r="K100" i="23"/>
  <c r="K99" i="23"/>
  <c r="H99" i="23"/>
  <c r="L99" i="23" s="1"/>
  <c r="N99" i="23" s="1"/>
  <c r="K98" i="23"/>
  <c r="H98" i="23"/>
  <c r="M98" i="23" s="1"/>
  <c r="N98" i="23" s="1"/>
  <c r="L83" i="23"/>
  <c r="N83" i="23" s="1"/>
  <c r="K83" i="23"/>
  <c r="M82" i="23"/>
  <c r="N82" i="23" s="1"/>
  <c r="K82" i="23"/>
  <c r="K81" i="23"/>
  <c r="H81" i="23"/>
  <c r="L81" i="23" s="1"/>
  <c r="N81" i="23" s="1"/>
  <c r="K80" i="23"/>
  <c r="H80" i="23"/>
  <c r="M80" i="23" s="1"/>
  <c r="N80" i="23" s="1"/>
  <c r="K79" i="23"/>
  <c r="H79" i="23"/>
  <c r="L79" i="23" s="1"/>
  <c r="N79" i="23" s="1"/>
  <c r="K78" i="23"/>
  <c r="H78" i="23"/>
  <c r="M78" i="23" s="1"/>
  <c r="N78" i="23" s="1"/>
  <c r="K77" i="23"/>
  <c r="K76" i="23"/>
  <c r="H76" i="23"/>
  <c r="H77" i="23" s="1"/>
  <c r="L77" i="23" s="1"/>
  <c r="N77" i="23" s="1"/>
  <c r="K75" i="23"/>
  <c r="H75" i="23"/>
  <c r="M75" i="23" s="1"/>
  <c r="N75" i="23" s="1"/>
  <c r="M75" i="8"/>
  <c r="N75" i="8" s="1"/>
  <c r="K75" i="8"/>
  <c r="H72" i="23"/>
  <c r="H70" i="23"/>
  <c r="M70" i="23" s="1"/>
  <c r="N70" i="23" s="1"/>
  <c r="H71" i="23"/>
  <c r="K72" i="23"/>
  <c r="L72" i="23"/>
  <c r="N72" i="23" s="1"/>
  <c r="K71" i="23"/>
  <c r="L71" i="23"/>
  <c r="N71" i="23" s="1"/>
  <c r="K70" i="23"/>
  <c r="H68" i="23"/>
  <c r="M68" i="23" s="1"/>
  <c r="N68" i="23" s="1"/>
  <c r="H69" i="23"/>
  <c r="K69" i="23"/>
  <c r="L69" i="23"/>
  <c r="N69" i="23" s="1"/>
  <c r="K68" i="23"/>
  <c r="H65" i="23"/>
  <c r="K65" i="23"/>
  <c r="M65" i="23"/>
  <c r="N65" i="23" s="1"/>
  <c r="H61" i="23"/>
  <c r="M61" i="23" s="1"/>
  <c r="N61" i="23" s="1"/>
  <c r="H62" i="23"/>
  <c r="K62" i="23"/>
  <c r="L62" i="23"/>
  <c r="N62" i="23" s="1"/>
  <c r="K61" i="23"/>
  <c r="H60" i="23"/>
  <c r="L60" i="23" s="1"/>
  <c r="N60" i="23" s="1"/>
  <c r="H58" i="23"/>
  <c r="L58" i="23"/>
  <c r="N58" i="23" s="1"/>
  <c r="M57" i="23"/>
  <c r="N57" i="23" s="1"/>
  <c r="K57" i="23"/>
  <c r="H56" i="23"/>
  <c r="H55" i="23"/>
  <c r="M55" i="23" s="1"/>
  <c r="N55" i="23" s="1"/>
  <c r="K67" i="23"/>
  <c r="H67" i="23"/>
  <c r="L67" i="23" s="1"/>
  <c r="N67" i="23" s="1"/>
  <c r="L66" i="23"/>
  <c r="N66" i="23" s="1"/>
  <c r="K66" i="23"/>
  <c r="K60" i="23"/>
  <c r="K59" i="23"/>
  <c r="H59" i="23"/>
  <c r="L59" i="23" s="1"/>
  <c r="N59" i="23" s="1"/>
  <c r="K56" i="23"/>
  <c r="L56" i="23"/>
  <c r="N56" i="23" s="1"/>
  <c r="K55" i="23"/>
  <c r="L40" i="23"/>
  <c r="N40" i="23" s="1"/>
  <c r="K40" i="23"/>
  <c r="M39" i="23"/>
  <c r="N39" i="23" s="1"/>
  <c r="K39" i="23"/>
  <c r="K38" i="23"/>
  <c r="H38" i="23"/>
  <c r="L38" i="23" s="1"/>
  <c r="N38" i="23" s="1"/>
  <c r="K37" i="23"/>
  <c r="H37" i="23"/>
  <c r="M37" i="23" s="1"/>
  <c r="N37" i="23" s="1"/>
  <c r="K36" i="23"/>
  <c r="H36" i="23"/>
  <c r="L36" i="23" s="1"/>
  <c r="N36" i="23" s="1"/>
  <c r="K35" i="23"/>
  <c r="H35" i="23"/>
  <c r="M35" i="23" s="1"/>
  <c r="N35" i="23" s="1"/>
  <c r="K34" i="23"/>
  <c r="K33" i="23"/>
  <c r="H33" i="23"/>
  <c r="H34" i="23" s="1"/>
  <c r="L34" i="23" s="1"/>
  <c r="N34" i="23" s="1"/>
  <c r="K32" i="23"/>
  <c r="H32" i="23"/>
  <c r="M32" i="23" s="1"/>
  <c r="N32" i="23" s="1"/>
  <c r="H28" i="23"/>
  <c r="M28" i="23" s="1"/>
  <c r="N28" i="23" s="1"/>
  <c r="H29" i="23"/>
  <c r="K29" i="23"/>
  <c r="L29" i="23"/>
  <c r="N29" i="23" s="1"/>
  <c r="K28" i="23"/>
  <c r="H27" i="23"/>
  <c r="H25" i="23"/>
  <c r="L25" i="23" s="1"/>
  <c r="N25" i="23" s="1"/>
  <c r="K25" i="23"/>
  <c r="K24" i="23"/>
  <c r="M24" i="23"/>
  <c r="N24" i="23" s="1"/>
  <c r="H22" i="23"/>
  <c r="H23" i="23"/>
  <c r="H72" i="8"/>
  <c r="L72" i="8" s="1"/>
  <c r="N72" i="8" s="1"/>
  <c r="K72" i="8"/>
  <c r="H70" i="8"/>
  <c r="M70" i="8" s="1"/>
  <c r="N70" i="8" s="1"/>
  <c r="H71" i="8"/>
  <c r="L71" i="8" s="1"/>
  <c r="N71" i="8" s="1"/>
  <c r="K71" i="8"/>
  <c r="K70" i="8"/>
  <c r="H68" i="8"/>
  <c r="M68" i="8" s="1"/>
  <c r="N68" i="8" s="1"/>
  <c r="H69" i="8"/>
  <c r="L69" i="8" s="1"/>
  <c r="N69" i="8" s="1"/>
  <c r="K69" i="8"/>
  <c r="K68" i="8"/>
  <c r="L76" i="23" l="1"/>
  <c r="N76" i="23" s="1"/>
  <c r="L109" i="23"/>
  <c r="N109" i="23" s="1"/>
  <c r="L126" i="23"/>
  <c r="N126" i="23" s="1"/>
  <c r="L159" i="23"/>
  <c r="N159" i="23" s="1"/>
  <c r="L33" i="23"/>
  <c r="N33" i="23" s="1"/>
  <c r="H61" i="8" l="1"/>
  <c r="M61" i="8" s="1"/>
  <c r="N61" i="8" s="1"/>
  <c r="H62" i="8"/>
  <c r="K62" i="8"/>
  <c r="L62" i="8"/>
  <c r="N62" i="8" s="1"/>
  <c r="K61" i="8"/>
  <c r="H60" i="8"/>
  <c r="H58" i="8"/>
  <c r="L58" i="8" s="1"/>
  <c r="N58" i="8" s="1"/>
  <c r="K58" i="8"/>
  <c r="K57" i="8"/>
  <c r="M57" i="8"/>
  <c r="N57" i="8" s="1"/>
  <c r="H56" i="8"/>
  <c r="L56" i="8" s="1"/>
  <c r="N56" i="8" s="1"/>
  <c r="H55" i="8"/>
  <c r="M55" i="8" s="1"/>
  <c r="N55" i="8" s="1"/>
  <c r="K67" i="8"/>
  <c r="H67" i="8"/>
  <c r="L67" i="8" s="1"/>
  <c r="N67" i="8" s="1"/>
  <c r="L66" i="8"/>
  <c r="K65" i="8"/>
  <c r="H65" i="8"/>
  <c r="M65" i="8" s="1"/>
  <c r="K60" i="8"/>
  <c r="L60" i="8"/>
  <c r="N60" i="8" s="1"/>
  <c r="K59" i="8"/>
  <c r="H59" i="8"/>
  <c r="L59" i="8" s="1"/>
  <c r="N59" i="8" s="1"/>
  <c r="K56" i="8"/>
  <c r="K55" i="8"/>
  <c r="K54" i="8"/>
  <c r="H54" i="8"/>
  <c r="L54" i="8" s="1"/>
  <c r="N54" i="8" s="1"/>
  <c r="K53" i="8"/>
  <c r="H53" i="8"/>
  <c r="M53" i="8" s="1"/>
  <c r="N53" i="8" s="1"/>
  <c r="K52" i="8"/>
  <c r="H52" i="8"/>
  <c r="L52" i="8" s="1"/>
  <c r="N52" i="8" s="1"/>
  <c r="K51" i="8"/>
  <c r="H51" i="8"/>
  <c r="M51" i="8" s="1"/>
  <c r="N51" i="8" s="1"/>
  <c r="K50" i="8"/>
  <c r="K49" i="8"/>
  <c r="H49" i="8"/>
  <c r="H50" i="8" s="1"/>
  <c r="L50" i="8" s="1"/>
  <c r="N50" i="8" s="1"/>
  <c r="K48" i="8"/>
  <c r="H48" i="8"/>
  <c r="M48" i="8" s="1"/>
  <c r="N48" i="8" s="1"/>
  <c r="H43" i="8"/>
  <c r="L43" i="8" s="1"/>
  <c r="N43" i="8" s="1"/>
  <c r="H44" i="8"/>
  <c r="M44" i="8" s="1"/>
  <c r="N44" i="8" s="1"/>
  <c r="H45" i="8"/>
  <c r="K45" i="8"/>
  <c r="L45" i="8"/>
  <c r="N45" i="8" s="1"/>
  <c r="K44" i="8"/>
  <c r="H40" i="8"/>
  <c r="M40" i="8" s="1"/>
  <c r="N40" i="8" s="1"/>
  <c r="H41" i="8"/>
  <c r="L41" i="8" s="1"/>
  <c r="N41" i="8" s="1"/>
  <c r="K41" i="8"/>
  <c r="K40" i="8"/>
  <c r="H39" i="8"/>
  <c r="H38" i="8"/>
  <c r="L27" i="23"/>
  <c r="N27" i="23" s="1"/>
  <c r="M22" i="23"/>
  <c r="L23" i="23"/>
  <c r="N23" i="23" s="1"/>
  <c r="K21" i="23"/>
  <c r="H26" i="23"/>
  <c r="L26" i="23" s="1"/>
  <c r="N26" i="23" s="1"/>
  <c r="H16" i="23"/>
  <c r="H17" i="23" s="1"/>
  <c r="L17" i="23" s="1"/>
  <c r="N17" i="23" s="1"/>
  <c r="K21" i="8"/>
  <c r="K27" i="23"/>
  <c r="K26" i="23"/>
  <c r="K23" i="23"/>
  <c r="H21" i="23"/>
  <c r="L21" i="23" s="1"/>
  <c r="N21" i="23" s="1"/>
  <c r="K20" i="23"/>
  <c r="K19" i="23"/>
  <c r="H19" i="23"/>
  <c r="L19" i="23" s="1"/>
  <c r="N19" i="23" s="1"/>
  <c r="K18" i="23"/>
  <c r="K17" i="23"/>
  <c r="K16" i="23"/>
  <c r="K15" i="23"/>
  <c r="H42" i="8"/>
  <c r="H21" i="8"/>
  <c r="H20" i="8" s="1"/>
  <c r="M20" i="8" s="1"/>
  <c r="N20" i="8" s="1"/>
  <c r="H19" i="8"/>
  <c r="L19" i="8" s="1"/>
  <c r="N19" i="8" s="1"/>
  <c r="H16" i="8"/>
  <c r="H15" i="8" s="1"/>
  <c r="K20" i="8"/>
  <c r="K19" i="8"/>
  <c r="K18" i="8"/>
  <c r="K43" i="8"/>
  <c r="K17" i="8"/>
  <c r="H18" i="23" l="1"/>
  <c r="M18" i="23" s="1"/>
  <c r="N18" i="23" s="1"/>
  <c r="H20" i="23"/>
  <c r="M20" i="23" s="1"/>
  <c r="N20" i="23" s="1"/>
  <c r="N66" i="8"/>
  <c r="N65" i="8"/>
  <c r="L49" i="8"/>
  <c r="N49" i="8" s="1"/>
  <c r="N22" i="23"/>
  <c r="H15" i="23"/>
  <c r="M15" i="23" s="1"/>
  <c r="H17" i="8"/>
  <c r="L17" i="8" s="1"/>
  <c r="N17" i="8" s="1"/>
  <c r="L21" i="8"/>
  <c r="N21" i="8" s="1"/>
  <c r="L16" i="23"/>
  <c r="L169" i="23" s="1"/>
  <c r="H18" i="8"/>
  <c r="M18" i="8" s="1"/>
  <c r="N18" i="8" s="1"/>
  <c r="L39" i="8"/>
  <c r="K39" i="8"/>
  <c r="K38" i="8"/>
  <c r="M38" i="8"/>
  <c r="M169" i="23" l="1"/>
  <c r="N15" i="23"/>
  <c r="N38" i="8"/>
  <c r="N16" i="23"/>
  <c r="N39" i="8"/>
  <c r="K23" i="8"/>
  <c r="L23" i="8"/>
  <c r="N23" i="8" s="1"/>
  <c r="N169" i="23" l="1"/>
  <c r="N170" i="23" s="1"/>
  <c r="K42" i="8"/>
  <c r="M22" i="8" l="1"/>
  <c r="N22" i="8" s="1"/>
  <c r="L42" i="8"/>
  <c r="K22" i="8"/>
  <c r="L16" i="8"/>
  <c r="K16" i="8"/>
  <c r="K15" i="8"/>
  <c r="M15" i="8"/>
  <c r="M76" i="8" s="1"/>
  <c r="L76" i="8" l="1"/>
  <c r="N42" i="8"/>
  <c r="N16" i="8"/>
  <c r="N15" i="8"/>
  <c r="N76" i="8" l="1"/>
  <c r="N77" i="8" s="1"/>
  <c r="G16" i="3"/>
  <c r="C28" i="3" l="1"/>
  <c r="C27" i="3"/>
  <c r="C26" i="3"/>
  <c r="C25" i="3"/>
  <c r="C24" i="3"/>
  <c r="C23" i="3"/>
  <c r="C22" i="3"/>
  <c r="C21" i="3"/>
  <c r="C20" i="3"/>
  <c r="C19" i="3"/>
  <c r="C18" i="3"/>
  <c r="C17" i="3"/>
  <c r="L28" i="3"/>
  <c r="K28" i="3"/>
  <c r="J28" i="3"/>
  <c r="L27" i="3"/>
  <c r="K27" i="3"/>
  <c r="J27" i="3"/>
  <c r="L26" i="3"/>
  <c r="K26" i="3"/>
  <c r="J26" i="3"/>
  <c r="L25" i="3"/>
  <c r="K25" i="3"/>
  <c r="J25" i="3"/>
  <c r="L24" i="3"/>
  <c r="K24" i="3"/>
  <c r="J24" i="3"/>
  <c r="L23" i="3"/>
  <c r="K23" i="3"/>
  <c r="J23" i="3"/>
  <c r="L22" i="3"/>
  <c r="K22" i="3"/>
  <c r="J22" i="3"/>
  <c r="L21" i="3"/>
  <c r="K21" i="3"/>
  <c r="J21" i="3"/>
  <c r="L20" i="3"/>
  <c r="K20" i="3"/>
  <c r="J20" i="3"/>
  <c r="L19" i="3"/>
  <c r="K19" i="3"/>
  <c r="J19" i="3"/>
  <c r="L18" i="3"/>
  <c r="K18" i="3"/>
  <c r="J18" i="3"/>
  <c r="L17" i="3"/>
  <c r="K17" i="3"/>
  <c r="J17" i="3"/>
  <c r="M17" i="3" l="1"/>
  <c r="M23" i="3"/>
  <c r="M24" i="3"/>
  <c r="M25" i="3"/>
  <c r="M27" i="3"/>
  <c r="M28" i="3"/>
  <c r="L16" i="3"/>
  <c r="M21" i="3"/>
  <c r="M22" i="3"/>
  <c r="M26" i="3"/>
  <c r="M19" i="3"/>
  <c r="M20" i="3"/>
  <c r="K16" i="3"/>
  <c r="M18" i="3"/>
  <c r="K15" i="3" l="1"/>
  <c r="K29" i="3"/>
  <c r="L15" i="3"/>
  <c r="L29" i="3"/>
  <c r="M16" i="3"/>
  <c r="M15" i="3" l="1"/>
  <c r="M29" i="3"/>
  <c r="M30" i="3" s="1"/>
</calcChain>
</file>

<file path=xl/sharedStrings.xml><?xml version="1.0" encoding="utf-8"?>
<sst xmlns="http://schemas.openxmlformats.org/spreadsheetml/2006/main" count="1085" uniqueCount="304">
  <si>
    <t>540118</t>
  </si>
  <si>
    <t>Код</t>
  </si>
  <si>
    <t>Примечание</t>
  </si>
  <si>
    <t>Материалы/ оборудование</t>
  </si>
  <si>
    <t>м.п.</t>
  </si>
  <si>
    <t>СОГЛАСОВАНО:</t>
  </si>
  <si>
    <t>договорная цена</t>
  </si>
  <si>
    <t>2</t>
  </si>
  <si>
    <t>ООО СЗ «Крылья»</t>
  </si>
  <si>
    <t>шт.</t>
  </si>
  <si>
    <t>Кол-во</t>
  </si>
  <si>
    <t>Стоимость, руб. в т.ч. НДС</t>
  </si>
  <si>
    <t>1</t>
  </si>
  <si>
    <t>1.1</t>
  </si>
  <si>
    <t>1.2</t>
  </si>
  <si>
    <t>1.3</t>
  </si>
  <si>
    <t>1.4</t>
  </si>
  <si>
    <t>Наименование  затрат</t>
  </si>
  <si>
    <t>номер п/п</t>
  </si>
  <si>
    <t>Ед. изм.</t>
  </si>
  <si>
    <t>Коэф. Расхода</t>
  </si>
  <si>
    <t>Цена, руб. в т.ч.  НДС</t>
  </si>
  <si>
    <t>Цена, руб.в т.ч  НДС</t>
  </si>
  <si>
    <t>Общая стоимость,
руб. в т.ч. НДС</t>
  </si>
  <si>
    <t>СМР, ПНР</t>
  </si>
  <si>
    <t>*</t>
  </si>
  <si>
    <t>* в случае применения УСН не указывается</t>
  </si>
  <si>
    <t>Общая стоимость работ</t>
  </si>
  <si>
    <t xml:space="preserve"> в т.ч. НДС 20% </t>
  </si>
  <si>
    <r>
      <rPr>
        <b/>
        <sz val="12"/>
        <color rgb="FF000000"/>
        <rFont val="Calibri"/>
        <family val="2"/>
        <charset val="204"/>
        <scheme val="minor"/>
      </rPr>
      <t xml:space="preserve"> на объекте:</t>
    </r>
    <r>
      <rPr>
        <sz val="12"/>
        <color indexed="64"/>
        <rFont val="Calibri"/>
        <family val="2"/>
        <charset val="204"/>
        <scheme val="minor"/>
      </rPr>
      <t xml:space="preserve"> </t>
    </r>
    <r>
      <rPr>
        <u/>
        <sz val="12"/>
        <color rgb="FF000000"/>
        <rFont val="Calibri"/>
        <family val="2"/>
        <charset val="204"/>
        <scheme val="minor"/>
      </rPr>
      <t>"Многоквартирный жилой дом с подземной автостоянкой, расположенный в квартале улиц Т. Кармацкого - Е. Войнова в г. Тюмени. 2 этап"</t>
    </r>
    <r>
      <rPr>
        <sz val="12"/>
        <color indexed="64"/>
        <rFont val="Calibri"/>
        <family val="2"/>
        <charset val="204"/>
        <scheme val="minor"/>
      </rPr>
      <t xml:space="preserve"> </t>
    </r>
  </si>
  <si>
    <t>Раздел 1. Изготовление и монтаж светопрозрачных конструкций</t>
  </si>
  <si>
    <t>1.5</t>
  </si>
  <si>
    <t>1.6</t>
  </si>
  <si>
    <t>1.7</t>
  </si>
  <si>
    <t>1.8</t>
  </si>
  <si>
    <t>1.9</t>
  </si>
  <si>
    <t>1.10</t>
  </si>
  <si>
    <t>1.11</t>
  </si>
  <si>
    <t>1.12</t>
  </si>
  <si>
    <t>Изготовление и монтаж окон из алюминиевого профиля</t>
  </si>
  <si>
    <r>
      <t xml:space="preserve">на выполнение комплекса работ по </t>
    </r>
    <r>
      <rPr>
        <u/>
        <sz val="12"/>
        <color rgb="FF000000"/>
        <rFont val="Calibri"/>
        <family val="2"/>
        <charset val="204"/>
        <scheme val="minor"/>
      </rPr>
      <t>изготовлению  и монтажу оконных проемов ГП-2.2 с пристроенными нежилыми помещениями</t>
    </r>
  </si>
  <si>
    <t>Наименование организации ИНН 7203292023</t>
  </si>
  <si>
    <t>Управляющий ___________________________ ИП Жалнин Д.В.</t>
  </si>
  <si>
    <t>Приложение №1</t>
  </si>
  <si>
    <t>к договору подряда № _________ от ________г.</t>
  </si>
  <si>
    <t>Заказчик:</t>
  </si>
  <si>
    <t>Подрядчик:</t>
  </si>
  <si>
    <t>Технический заказчик:</t>
  </si>
  <si>
    <t>ООО «Создание»</t>
  </si>
  <si>
    <t>ООО «Технический заказчик «ПАРИТЕТ»</t>
  </si>
  <si>
    <t xml:space="preserve">в лице ООО «Любимый город», действующего на основании Агентского Договора № А54/23-А от 28.07.2023 г, доверенности №23/23-ДК от 28.07.2023 года
</t>
  </si>
  <si>
    <t>Генеральный директор ООО "Любимый город"</t>
  </si>
  <si>
    <t>Директор</t>
  </si>
  <si>
    <t>Представитель по доверенности №2/24-ПД от 09.01.2024г.</t>
  </si>
  <si>
    <t>С.А. Бусыгин</t>
  </si>
  <si>
    <t>Д.С. Вишневская</t>
  </si>
  <si>
    <t>И.Г. Солдаткин</t>
  </si>
  <si>
    <t>"______" ____________________ 2024г.</t>
  </si>
  <si>
    <t>Ведомость договорной цены №1</t>
  </si>
  <si>
    <t>шт</t>
  </si>
  <si>
    <t>3</t>
  </si>
  <si>
    <t>4</t>
  </si>
  <si>
    <t>5</t>
  </si>
  <si>
    <t>СМР</t>
  </si>
  <si>
    <t>Цена, руб. НДС</t>
  </si>
  <si>
    <t>Цена, руб.  НДС</t>
  </si>
  <si>
    <t>Стоимость, руб. НДС</t>
  </si>
  <si>
    <t>Общая стоимость,
руб. НДС</t>
  </si>
  <si>
    <t>Наименование организации ИНН</t>
  </si>
  <si>
    <t xml:space="preserve">Обозначение на плане </t>
  </si>
  <si>
    <t>в т.ч. НДС 22%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</si>
  <si>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</si>
  <si>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</si>
  <si>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</si>
  <si>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</si>
  <si>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</si>
  <si>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</si>
  <si>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</si>
  <si>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Опыт работы</t>
  </si>
  <si>
    <t>Дата регистрации компании</t>
  </si>
  <si>
    <t>e-mail</t>
  </si>
  <si>
    <t>Генеральный директор : Ф.И.О. полностью, тел., e-mail</t>
  </si>
  <si>
    <t>Контактное лицо: Ф.И.О. полностью, тел., e-mail</t>
  </si>
  <si>
    <t>6</t>
  </si>
  <si>
    <t xml:space="preserve">Коммерческое предложение </t>
  </si>
  <si>
    <t>1.1.1</t>
  </si>
  <si>
    <t>1.1.2</t>
  </si>
  <si>
    <t>1.2.1</t>
  </si>
  <si>
    <t>Оборудование питания</t>
  </si>
  <si>
    <t>м.п</t>
  </si>
  <si>
    <t>материал порядчика</t>
  </si>
  <si>
    <t>компл.</t>
  </si>
  <si>
    <t>1.3.1</t>
  </si>
  <si>
    <t>1.4.1</t>
  </si>
  <si>
    <t>1.4.2</t>
  </si>
  <si>
    <t>1.4.3</t>
  </si>
  <si>
    <t>1.4.4</t>
  </si>
  <si>
    <t>1.4.5</t>
  </si>
  <si>
    <t>1.4.6</t>
  </si>
  <si>
    <t>1.4.7</t>
  </si>
  <si>
    <t>1.4.8</t>
  </si>
  <si>
    <t>1.5.1</t>
  </si>
  <si>
    <t>1.5.2</t>
  </si>
  <si>
    <t>1.5.3</t>
  </si>
  <si>
    <t>1.6.1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</si>
  <si>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</si>
  <si>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r>
      <t xml:space="preserve">на выполнение комплекса работ по </t>
    </r>
    <r>
      <rPr>
        <i/>
        <sz val="12"/>
        <rFont val="Times New Roman"/>
        <family val="1"/>
        <charset val="204"/>
      </rPr>
      <t>монтаж системы охранного телевидения (видеонаблюдение)</t>
    </r>
  </si>
  <si>
    <t>IP-видеокамера внутренняя купольная OMNY miniDome2E-U v2</t>
  </si>
  <si>
    <t xml:space="preserve">Шкафы телекоммуникационные в сборе </t>
  </si>
  <si>
    <t>0.1.4.4.5.9.3</t>
  </si>
  <si>
    <t>Видеорегистратор на 128 каналов</t>
  </si>
  <si>
    <t>Маршрутизатор на 5 портов</t>
  </si>
  <si>
    <t>Кросс оптический на 8 порта</t>
  </si>
  <si>
    <t>Коммутатор оптический на 8 порта</t>
  </si>
  <si>
    <t>Коммутатор на 24 портов</t>
  </si>
  <si>
    <t xml:space="preserve">Коммутатор на 48 портов </t>
  </si>
  <si>
    <t>Патч-панель на 24 портов</t>
  </si>
  <si>
    <t>Патч-панель на 48 портов</t>
  </si>
  <si>
    <t>Блок розеток</t>
  </si>
  <si>
    <t>Источник бесперебойного питания</t>
  </si>
  <si>
    <t>Блок дополнительных аккумуляторов</t>
  </si>
  <si>
    <t>Модуль вентиляторов</t>
  </si>
  <si>
    <t>Органайзер кабельный</t>
  </si>
  <si>
    <t>Корпус шкафа на 18U</t>
  </si>
  <si>
    <t>0.1.4.4.5.9.9</t>
  </si>
  <si>
    <t>Кабель симметричный парной скрутки "витая пара" пониженной пожарной опасности с низкотоксичным дымо- и газовыделением сечением U/UTP Cat5e нг(А)-HF(LSZH) 4х2х0,5</t>
  </si>
  <si>
    <t>Кабель плоский лифтовый комбинированный с медными основными токопроводящими жилами в изоляции КПЛК 2х0.75+4х 2х0.20</t>
  </si>
  <si>
    <t>Труба гофрированная ПВХ легкая 350 Н серая с/з d20 мм</t>
  </si>
  <si>
    <t>Коробка монтажная универсальная для камер видеонаблюдения МК-1</t>
  </si>
  <si>
    <t>0.1.4.4.5.9.7.2</t>
  </si>
  <si>
    <t>Видеокамеры внутренней установки</t>
  </si>
  <si>
    <t>0.1.4.4.5.9.6</t>
  </si>
  <si>
    <t>Источник питания 12 В, EDR-120-12</t>
  </si>
  <si>
    <t>Прочее оборудование</t>
  </si>
  <si>
    <t>0.1.4.4.5.9.8</t>
  </si>
  <si>
    <t>E-line адаптер ЛНГС.465213.275</t>
  </si>
  <si>
    <t>1.4.9</t>
  </si>
  <si>
    <t>1.4.10</t>
  </si>
  <si>
    <t>1.4.11</t>
  </si>
  <si>
    <t>1.4.12</t>
  </si>
  <si>
    <t>1.4.13</t>
  </si>
  <si>
    <t>1.4.14</t>
  </si>
  <si>
    <t>1.4.15</t>
  </si>
  <si>
    <t>Видеорегистратор на 64 каналов</t>
  </si>
  <si>
    <t>Видеорегистратор на 32 каналов</t>
  </si>
  <si>
    <t>0.1.4.4.5.9.7.1</t>
  </si>
  <si>
    <t>Видеокамеры наружной установки</t>
  </si>
  <si>
    <t xml:space="preserve">IP-видеокамера внутренняя купольная 2Мп OMNY BASE miniBullet2EZ WDU 2880 </t>
  </si>
  <si>
    <t>1.6.2</t>
  </si>
  <si>
    <t>Прокладка кабеля в лотке</t>
  </si>
  <si>
    <t>Прокладка кабеля открыто</t>
  </si>
  <si>
    <t>1.6.3</t>
  </si>
  <si>
    <t>1.7.1</t>
  </si>
  <si>
    <t>Секция 2А</t>
  </si>
  <si>
    <t>Секция 2Б</t>
  </si>
  <si>
    <t xml:space="preserve">Телевидение охранное (видеонаблюдение внутренней установки) </t>
  </si>
  <si>
    <t>2.1</t>
  </si>
  <si>
    <t>2.1.1</t>
  </si>
  <si>
    <t>2.1.2</t>
  </si>
  <si>
    <t>2.2</t>
  </si>
  <si>
    <t>2.2.1</t>
  </si>
  <si>
    <t>2.3</t>
  </si>
  <si>
    <t>2.3.1</t>
  </si>
  <si>
    <t>2.4</t>
  </si>
  <si>
    <t>2.4.1</t>
  </si>
  <si>
    <t>2.4.2</t>
  </si>
  <si>
    <t>2.4.3</t>
  </si>
  <si>
    <t>2.5</t>
  </si>
  <si>
    <t>2.5.1</t>
  </si>
  <si>
    <t>2.5.2</t>
  </si>
  <si>
    <t>2.5.3</t>
  </si>
  <si>
    <t>2.6</t>
  </si>
  <si>
    <t>2.6.1</t>
  </si>
  <si>
    <t>Вспомогательные и расходные материалы, крепеж включены в стоимость работ</t>
  </si>
  <si>
    <t>Расходные и вспомогательные материалы, а также крепеж включены в стоиомсть работ. Устройство узлов прохода инженерных коммуникаций через стены, перекрытия, покрытия, стены из бетонного камня, в том числе штробление, устройство гнезд и сверление отверстий диаметром менее 150 мм (включительно) с последующей их заделкой в соответствии с нормами и соблюдением предела огнестойкости конструкций включены в стоимость работ.</t>
  </si>
  <si>
    <t>Секция 2А, 2Б</t>
  </si>
  <si>
    <t xml:space="preserve">Телевидение охранное (видеонаблюдение наружной установки) </t>
  </si>
  <si>
    <t>3.1</t>
  </si>
  <si>
    <t>3.1.1</t>
  </si>
  <si>
    <t>3.1.2</t>
  </si>
  <si>
    <t>3.2</t>
  </si>
  <si>
    <t>3.2.1</t>
  </si>
  <si>
    <t>3.3</t>
  </si>
  <si>
    <t>3.3.1</t>
  </si>
  <si>
    <t>3.3.2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</si>
  <si>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2А,2Б</t>
  </si>
  <si>
    <t>Секция 1А</t>
  </si>
  <si>
    <t>Секция 1Б</t>
  </si>
  <si>
    <t>2.4.4</t>
  </si>
  <si>
    <t>2.4.5</t>
  </si>
  <si>
    <t>2.4.6</t>
  </si>
  <si>
    <t>2.4.7</t>
  </si>
  <si>
    <t>2.4.8</t>
  </si>
  <si>
    <t>2.4.9</t>
  </si>
  <si>
    <t>2.4.10</t>
  </si>
  <si>
    <t>2.4.11</t>
  </si>
  <si>
    <t>2.4.12</t>
  </si>
  <si>
    <t>2.4.13</t>
  </si>
  <si>
    <t>2.4.14</t>
  </si>
  <si>
    <t>2.4.15</t>
  </si>
  <si>
    <t>2.6.2</t>
  </si>
  <si>
    <t>2.6.3</t>
  </si>
  <si>
    <t>2.7</t>
  </si>
  <si>
    <t>2.7.1</t>
  </si>
  <si>
    <t>Секция 3А</t>
  </si>
  <si>
    <t>Секция 3Б</t>
  </si>
  <si>
    <t>Секция 3В</t>
  </si>
  <si>
    <t>Секция 3А,3Б,3В,4А</t>
  </si>
  <si>
    <t>4.1.1</t>
  </si>
  <si>
    <t>4.1.2</t>
  </si>
  <si>
    <t>4.3</t>
  </si>
  <si>
    <t>4.3.1</t>
  </si>
  <si>
    <t>4.4</t>
  </si>
  <si>
    <t>4.1</t>
  </si>
  <si>
    <t>4.4.1</t>
  </si>
  <si>
    <t>4.4.2</t>
  </si>
  <si>
    <t>4.5</t>
  </si>
  <si>
    <t>Прокладка кабеля в гофротрубе</t>
  </si>
  <si>
    <t>Пусконаладочные работы системы видеонаблюдения</t>
  </si>
  <si>
    <t>0.1.4.4.5.9</t>
  </si>
  <si>
    <t>4.2</t>
  </si>
  <si>
    <t>4.2.1</t>
  </si>
  <si>
    <t>4.4.3</t>
  </si>
  <si>
    <t>4.4.4</t>
  </si>
  <si>
    <t>4.4.5</t>
  </si>
  <si>
    <t>4.4.6</t>
  </si>
  <si>
    <t>4.4.7</t>
  </si>
  <si>
    <t>4.4.8</t>
  </si>
  <si>
    <t>4.4.9</t>
  </si>
  <si>
    <t>4.4.10</t>
  </si>
  <si>
    <t>4.4.11</t>
  </si>
  <si>
    <t>4.4.12</t>
  </si>
  <si>
    <t>4.4.13</t>
  </si>
  <si>
    <t>4.4.14</t>
  </si>
  <si>
    <t>4.4.15</t>
  </si>
  <si>
    <t>4.5.1</t>
  </si>
  <si>
    <t>4.6</t>
  </si>
  <si>
    <t>4.6.1</t>
  </si>
  <si>
    <t>4.6.2</t>
  </si>
  <si>
    <t>4.6.3</t>
  </si>
  <si>
    <t>4.7</t>
  </si>
  <si>
    <t>4.7.1</t>
  </si>
  <si>
    <t>5.1</t>
  </si>
  <si>
    <t>5.1.1</t>
  </si>
  <si>
    <t>5.1.2</t>
  </si>
  <si>
    <t>5.2</t>
  </si>
  <si>
    <t>5.2.1</t>
  </si>
  <si>
    <t>5.3</t>
  </si>
  <si>
    <t>5.3.1</t>
  </si>
  <si>
    <t>5.4</t>
  </si>
  <si>
    <t>5.4.1</t>
  </si>
  <si>
    <t>5.5</t>
  </si>
  <si>
    <t>5.5.1</t>
  </si>
  <si>
    <t>5.5.2</t>
  </si>
  <si>
    <t>5.5.3</t>
  </si>
  <si>
    <t>5.6</t>
  </si>
  <si>
    <t>5.6.1</t>
  </si>
  <si>
    <t>6.1</t>
  </si>
  <si>
    <t>6.1.1</t>
  </si>
  <si>
    <t>6.1.2</t>
  </si>
  <si>
    <t>6.2</t>
  </si>
  <si>
    <t>6.2.1</t>
  </si>
  <si>
    <t>6.3</t>
  </si>
  <si>
    <t>6.3.1</t>
  </si>
  <si>
    <t>6.4</t>
  </si>
  <si>
    <t>6.4.1</t>
  </si>
  <si>
    <t>6.4.2</t>
  </si>
  <si>
    <t>6.4.3</t>
  </si>
  <si>
    <t>6.4.4</t>
  </si>
  <si>
    <t>6.4.5</t>
  </si>
  <si>
    <t>6.4.6</t>
  </si>
  <si>
    <t>6.4.7</t>
  </si>
  <si>
    <t>6.4.8</t>
  </si>
  <si>
    <t>6.4.9</t>
  </si>
  <si>
    <t>6.4.10</t>
  </si>
  <si>
    <t>6.4.11</t>
  </si>
  <si>
    <t>6.4.12</t>
  </si>
  <si>
    <t>6.4.13</t>
  </si>
  <si>
    <t>6.4.14</t>
  </si>
  <si>
    <t>6.4.15</t>
  </si>
  <si>
    <t>6.5</t>
  </si>
  <si>
    <t>6.5.1</t>
  </si>
  <si>
    <t>6.6</t>
  </si>
  <si>
    <t>6.6.1</t>
  </si>
  <si>
    <t>6.6.2</t>
  </si>
  <si>
    <t>6.6.3</t>
  </si>
  <si>
    <t>6.7</t>
  </si>
  <si>
    <t>6.7.1</t>
  </si>
  <si>
    <t>7.1</t>
  </si>
  <si>
    <t>7.1.1</t>
  </si>
  <si>
    <t>7.1.2</t>
  </si>
  <si>
    <t>7.3</t>
  </si>
  <si>
    <t>7.3.1</t>
  </si>
  <si>
    <t>7.4</t>
  </si>
  <si>
    <t>7.4.1</t>
  </si>
  <si>
    <t>7.4.2</t>
  </si>
  <si>
    <t>8.1</t>
  </si>
  <si>
    <t>Секция 1А,1Б</t>
  </si>
  <si>
    <t>Секция 1А,1Б,3А,3Б,3В,4А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</si>
  <si>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1А,1Б,3А,3Б,3В,4А</t>
  </si>
  <si>
    <t>Шкаф телекоммуникационный СОТ с видеорегистратором на 128 каналов в комплекте</t>
  </si>
  <si>
    <t>Шкаф телекоммуникационный СОТ с видеорегистратором на 64 каналов в комплекте</t>
  </si>
  <si>
    <t>Шкаф телекоммуникационный СОТ с видеорегистратором на 32 каналов в комплекте</t>
  </si>
  <si>
    <t>Пусконаладочные работы системы видеонаблюдения внутренней и наружной установки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</si>
</sst>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#,##0.00_ ;\-#,##0.00\ "/>
  </numFmts>
  <fonts count="5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indexed="2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64"/>
      <name val="Calibri"/>
      <family val="2"/>
      <charset val="204"/>
      <scheme val="minor"/>
    </font>
    <font>
      <sz val="11"/>
      <color indexed="65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indexed="64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2"/>
      <color indexed="64"/>
      <name val="Calibri"/>
      <family val="2"/>
      <charset val="204"/>
      <scheme val="minor"/>
    </font>
    <font>
      <sz val="12"/>
      <color indexed="64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indexed="2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1"/>
      <name val="Arial Cyr"/>
      <charset val="204"/>
    </font>
    <font>
      <u/>
      <sz val="12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4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FF000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151515"/>
      <name val="Times New Roman"/>
      <family val="1"/>
      <charset val="204"/>
    </font>
    <font>
      <sz val="10"/>
      <color indexed="2"/>
      <name val="Times New Roman"/>
      <family val="1"/>
      <charset val="204"/>
    </font>
    <font>
      <b/>
      <sz val="10"/>
      <color indexed="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i/>
      <sz val="11"/>
      <color theme="0"/>
      <name val="Times New Roman"/>
      <family val="1"/>
      <charset val="204"/>
    </font>
    <font>
      <b/>
      <i/>
      <sz val="11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D5EAFF"/>
        <bgColor rgb="FFD5EA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7E2EF"/>
        <bgColor rgb="FFD4D3D4"/>
      </patternFill>
    </fill>
    <fill>
      <patternFill patternType="solid">
        <fgColor rgb="FF00666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7E2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4D3D4"/>
        <bgColor rgb="FFD7E2EF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4" fillId="0" borderId="0"/>
    <xf numFmtId="43" fontId="4" fillId="0" borderId="0" applyFont="0" applyFill="0" applyBorder="0" applyProtection="0"/>
    <xf numFmtId="43" fontId="7" fillId="0" borderId="0" applyFont="0" applyFill="0" applyBorder="0" applyAlignment="0" applyProtection="0"/>
    <xf numFmtId="0" fontId="4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52" fillId="0" borderId="0" applyNumberFormat="0" applyFill="0" applyBorder="0" applyAlignment="0" applyProtection="0"/>
    <xf numFmtId="0" fontId="53" fillId="0" borderId="0"/>
    <xf numFmtId="0" fontId="1" fillId="0" borderId="0"/>
  </cellStyleXfs>
  <cellXfs count="321">
    <xf numFmtId="0" fontId="0" fillId="0" borderId="0" xfId="0"/>
    <xf numFmtId="165" fontId="8" fillId="0" borderId="3" xfId="2" applyNumberFormat="1" applyFont="1" applyBorder="1" applyAlignment="1" applyProtection="1">
      <alignment horizontal="right" vertical="center" wrapText="1"/>
      <protection locked="0"/>
    </xf>
    <xf numFmtId="165" fontId="5" fillId="0" borderId="5" xfId="2" applyNumberFormat="1" applyFont="1" applyBorder="1" applyAlignment="1" applyProtection="1">
      <alignment horizontal="center" vertical="center" wrapText="1"/>
      <protection locked="0"/>
    </xf>
    <xf numFmtId="165" fontId="12" fillId="5" borderId="5" xfId="2" applyNumberFormat="1" applyFont="1" applyFill="1" applyBorder="1" applyAlignment="1" applyProtection="1">
      <alignment horizontal="center" vertical="center" wrapText="1"/>
      <protection locked="0"/>
    </xf>
    <xf numFmtId="165" fontId="11" fillId="5" borderId="3" xfId="2" applyNumberFormat="1" applyFont="1" applyFill="1" applyBorder="1" applyAlignment="1" applyProtection="1">
      <alignment horizontal="right" vertical="center" wrapText="1"/>
      <protection locked="0"/>
    </xf>
    <xf numFmtId="165" fontId="11" fillId="3" borderId="7" xfId="2" applyNumberFormat="1" applyFont="1" applyFill="1" applyBorder="1" applyAlignment="1" applyProtection="1">
      <alignment horizontal="right" vertical="center" wrapText="1"/>
      <protection locked="0"/>
    </xf>
    <xf numFmtId="165" fontId="5" fillId="3" borderId="7" xfId="2" applyNumberFormat="1" applyFont="1" applyFill="1" applyBorder="1" applyAlignment="1" applyProtection="1">
      <alignment horizontal="center" vertical="center" wrapText="1"/>
      <protection locked="0"/>
    </xf>
    <xf numFmtId="165" fontId="11" fillId="3" borderId="7" xfId="2" applyNumberFormat="1" applyFont="1" applyFill="1" applyBorder="1" applyAlignment="1" applyProtection="1">
      <alignment horizontal="center" vertical="center" wrapText="1"/>
      <protection locked="0"/>
    </xf>
    <xf numFmtId="4" fontId="11" fillId="5" borderId="1" xfId="2" applyNumberFormat="1" applyFont="1" applyFill="1" applyBorder="1" applyAlignment="1" applyProtection="1">
      <alignment horizontal="center" vertical="center" wrapText="1"/>
    </xf>
    <xf numFmtId="0" fontId="9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8" fillId="0" borderId="0" xfId="1" applyFont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4" fontId="8" fillId="0" borderId="0" xfId="2" applyNumberFormat="1" applyFont="1" applyAlignment="1" applyProtection="1">
      <alignment horizontal="right" vertical="center"/>
      <protection locked="0"/>
    </xf>
    <xf numFmtId="43" fontId="6" fillId="0" borderId="0" xfId="2" applyFont="1" applyAlignment="1" applyProtection="1">
      <alignment horizontal="right" vertical="center"/>
      <protection locked="0"/>
    </xf>
    <xf numFmtId="43" fontId="8" fillId="0" borderId="0" xfId="2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9" fillId="0" borderId="0" xfId="0" applyFont="1" applyProtection="1">
      <protection locked="0"/>
    </xf>
    <xf numFmtId="4" fontId="15" fillId="0" borderId="0" xfId="2" applyNumberFormat="1" applyFont="1" applyAlignment="1" applyProtection="1">
      <alignment horizontal="center" vertical="center"/>
      <protection locked="0"/>
    </xf>
    <xf numFmtId="43" fontId="21" fillId="0" borderId="0" xfId="2" applyFont="1" applyAlignment="1" applyProtection="1">
      <alignment vertical="center"/>
      <protection locked="0"/>
    </xf>
    <xf numFmtId="43" fontId="15" fillId="0" borderId="0" xfId="2" applyFont="1" applyAlignment="1" applyProtection="1">
      <alignment vertical="center"/>
      <protection locked="0"/>
    </xf>
    <xf numFmtId="43" fontId="15" fillId="0" borderId="0" xfId="2" applyFont="1" applyAlignment="1" applyProtection="1">
      <alignment horizontal="right" vertical="center"/>
      <protection locked="0"/>
    </xf>
    <xf numFmtId="43" fontId="20" fillId="0" borderId="0" xfId="3" applyFont="1" applyFill="1" applyAlignment="1" applyProtection="1">
      <alignment horizontal="right" vertical="center"/>
      <protection locked="0"/>
    </xf>
    <xf numFmtId="0" fontId="15" fillId="0" borderId="0" xfId="1" applyFont="1" applyAlignment="1" applyProtection="1">
      <alignment horizontal="center" vertical="center"/>
      <protection locked="0"/>
    </xf>
    <xf numFmtId="0" fontId="15" fillId="0" borderId="0" xfId="1" applyFont="1" applyAlignment="1" applyProtection="1">
      <alignment vertical="center"/>
      <protection locked="0"/>
    </xf>
    <xf numFmtId="0" fontId="15" fillId="0" borderId="0" xfId="1" applyFont="1" applyAlignment="1" applyProtection="1">
      <alignment vertical="center" wrapText="1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 wrapText="1"/>
      <protection locked="0"/>
    </xf>
    <xf numFmtId="4" fontId="8" fillId="0" borderId="0" xfId="2" applyNumberFormat="1" applyFont="1" applyAlignment="1" applyProtection="1">
      <alignment horizontal="center" vertical="center"/>
      <protection locked="0"/>
    </xf>
    <xf numFmtId="43" fontId="6" fillId="0" borderId="0" xfId="2" applyFont="1" applyAlignment="1" applyProtection="1">
      <alignment vertical="center"/>
      <protection locked="0"/>
    </xf>
    <xf numFmtId="43" fontId="8" fillId="0" borderId="0" xfId="2" applyFont="1" applyAlignment="1" applyProtection="1">
      <alignment vertical="center"/>
      <protection locked="0"/>
    </xf>
    <xf numFmtId="43" fontId="8" fillId="0" borderId="0" xfId="2" applyFont="1" applyFill="1" applyAlignment="1" applyProtection="1">
      <alignment vertical="center"/>
      <protection locked="0"/>
    </xf>
    <xf numFmtId="0" fontId="23" fillId="0" borderId="0" xfId="0" applyFont="1" applyProtection="1">
      <protection locked="0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11" fillId="0" borderId="4" xfId="1" applyFont="1" applyBorder="1" applyAlignment="1" applyProtection="1">
      <alignment horizontal="center" vertical="center" wrapText="1"/>
      <protection locked="0"/>
    </xf>
    <xf numFmtId="3" fontId="11" fillId="0" borderId="4" xfId="2" applyNumberFormat="1" applyFont="1" applyBorder="1" applyAlignment="1" applyProtection="1">
      <alignment horizontal="center" vertical="center" wrapText="1"/>
      <protection locked="0"/>
    </xf>
    <xf numFmtId="3" fontId="11" fillId="0" borderId="12" xfId="2" applyNumberFormat="1" applyFont="1" applyBorder="1" applyAlignment="1" applyProtection="1">
      <alignment horizontal="center" vertical="center" wrapText="1"/>
      <protection locked="0"/>
    </xf>
    <xf numFmtId="4" fontId="13" fillId="5" borderId="1" xfId="2" applyNumberFormat="1" applyFont="1" applyFill="1" applyBorder="1" applyAlignment="1" applyProtection="1">
      <alignment horizontal="right" vertical="center"/>
      <protection locked="0"/>
    </xf>
    <xf numFmtId="4" fontId="10" fillId="0" borderId="1" xfId="2" applyNumberFormat="1" applyFont="1" applyBorder="1" applyAlignment="1" applyProtection="1">
      <alignment horizontal="right" vertical="center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2" fillId="2" borderId="7" xfId="1" applyFont="1" applyFill="1" applyBorder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12" fillId="2" borderId="1" xfId="1" applyFont="1" applyFill="1" applyBorder="1" applyAlignment="1" applyProtection="1">
      <alignment vertical="center" wrapText="1"/>
      <protection locked="0"/>
    </xf>
    <xf numFmtId="4" fontId="12" fillId="2" borderId="1" xfId="1" applyNumberFormat="1" applyFont="1" applyFill="1" applyBorder="1" applyAlignment="1" applyProtection="1">
      <alignment vertical="center" wrapText="1"/>
      <protection locked="0"/>
    </xf>
    <xf numFmtId="0" fontId="12" fillId="2" borderId="1" xfId="1" applyFont="1" applyFill="1" applyBorder="1" applyAlignment="1" applyProtection="1">
      <alignment horizontal="right" vertical="center" wrapText="1"/>
      <protection locked="0"/>
    </xf>
    <xf numFmtId="0" fontId="25" fillId="4" borderId="0" xfId="0" applyFont="1" applyFill="1" applyProtection="1">
      <protection locked="0"/>
    </xf>
    <xf numFmtId="0" fontId="8" fillId="3" borderId="6" xfId="1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left" vertical="center" wrapText="1"/>
    </xf>
    <xf numFmtId="0" fontId="11" fillId="3" borderId="7" xfId="1" applyFont="1" applyFill="1" applyBorder="1" applyAlignment="1">
      <alignment horizontal="center" vertical="center" wrapText="1"/>
    </xf>
    <xf numFmtId="4" fontId="11" fillId="3" borderId="7" xfId="2" applyNumberFormat="1" applyFont="1" applyFill="1" applyBorder="1" applyAlignment="1" applyProtection="1">
      <alignment horizontal="center" vertical="center" wrapText="1"/>
    </xf>
    <xf numFmtId="49" fontId="13" fillId="5" borderId="2" xfId="5" applyNumberFormat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/>
    </xf>
    <xf numFmtId="0" fontId="12" fillId="5" borderId="1" xfId="5" applyFont="1" applyFill="1" applyBorder="1" applyAlignment="1">
      <alignment vertical="center" wrapText="1"/>
    </xf>
    <xf numFmtId="0" fontId="13" fillId="5" borderId="1" xfId="5" applyFont="1" applyFill="1" applyBorder="1" applyAlignment="1">
      <alignment horizontal="center" vertical="center" wrapText="1"/>
    </xf>
    <xf numFmtId="3" fontId="13" fillId="5" borderId="1" xfId="5" applyNumberFormat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 wrapText="1"/>
    </xf>
    <xf numFmtId="49" fontId="10" fillId="0" borderId="2" xfId="5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5" fillId="4" borderId="1" xfId="5" applyFont="1" applyFill="1" applyBorder="1" applyAlignment="1">
      <alignment vertical="center" wrapText="1"/>
    </xf>
    <xf numFmtId="0" fontId="5" fillId="0" borderId="1" xfId="5" applyFont="1" applyBorder="1" applyAlignment="1">
      <alignment horizontal="center" vertical="center" wrapText="1"/>
    </xf>
    <xf numFmtId="3" fontId="5" fillId="4" borderId="1" xfId="5" applyNumberFormat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165" fontId="11" fillId="3" borderId="8" xfId="2" applyNumberFormat="1" applyFont="1" applyFill="1" applyBorder="1" applyAlignment="1" applyProtection="1">
      <alignment horizontal="right" vertical="center" wrapText="1"/>
    </xf>
    <xf numFmtId="165" fontId="11" fillId="5" borderId="2" xfId="2" applyNumberFormat="1" applyFont="1" applyFill="1" applyBorder="1" applyAlignment="1" applyProtection="1">
      <alignment horizontal="right" vertical="center" wrapText="1"/>
    </xf>
    <xf numFmtId="165" fontId="11" fillId="5" borderId="1" xfId="2" applyNumberFormat="1" applyFont="1" applyFill="1" applyBorder="1" applyAlignment="1" applyProtection="1">
      <alignment horizontal="right" vertical="center" wrapText="1"/>
    </xf>
    <xf numFmtId="165" fontId="11" fillId="5" borderId="3" xfId="2" applyNumberFormat="1" applyFont="1" applyFill="1" applyBorder="1" applyAlignment="1" applyProtection="1">
      <alignment horizontal="right" vertical="center" wrapText="1"/>
    </xf>
    <xf numFmtId="165" fontId="8" fillId="0" borderId="2" xfId="2" applyNumberFormat="1" applyFont="1" applyBorder="1" applyAlignment="1" applyProtection="1">
      <alignment horizontal="right" vertical="center" wrapText="1"/>
    </xf>
    <xf numFmtId="165" fontId="8" fillId="0" borderId="1" xfId="2" applyNumberFormat="1" applyFont="1" applyBorder="1" applyAlignment="1" applyProtection="1">
      <alignment horizontal="right" vertical="center" wrapText="1"/>
    </xf>
    <xf numFmtId="165" fontId="8" fillId="0" borderId="3" xfId="2" applyNumberFormat="1" applyFont="1" applyBorder="1" applyAlignment="1" applyProtection="1">
      <alignment horizontal="right" vertical="center" wrapText="1"/>
    </xf>
    <xf numFmtId="4" fontId="12" fillId="2" borderId="9" xfId="2" applyNumberFormat="1" applyFont="1" applyFill="1" applyBorder="1" applyAlignment="1" applyProtection="1">
      <alignment horizontal="right" vertical="center"/>
    </xf>
    <xf numFmtId="4" fontId="12" fillId="2" borderId="10" xfId="2" applyNumberFormat="1" applyFont="1" applyFill="1" applyBorder="1" applyAlignment="1" applyProtection="1">
      <alignment horizontal="right" vertical="center"/>
    </xf>
    <xf numFmtId="4" fontId="12" fillId="2" borderId="1" xfId="1" applyNumberFormat="1" applyFont="1" applyFill="1" applyBorder="1" applyAlignment="1">
      <alignment horizontal="right" vertical="center" wrapText="1"/>
    </xf>
    <xf numFmtId="4" fontId="12" fillId="2" borderId="1" xfId="2" applyNumberFormat="1" applyFont="1" applyFill="1" applyBorder="1" applyAlignment="1" applyProtection="1">
      <alignment horizontal="right" vertical="center"/>
    </xf>
    <xf numFmtId="0" fontId="12" fillId="0" borderId="1" xfId="2" applyNumberFormat="1" applyFont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 vertical="center" wrapText="1"/>
      <protection locked="0"/>
    </xf>
    <xf numFmtId="0" fontId="23" fillId="0" borderId="29" xfId="0" applyFont="1" applyBorder="1" applyAlignment="1" applyProtection="1">
      <alignment horizontal="center" vertical="center" wrapText="1"/>
      <protection locked="0"/>
    </xf>
    <xf numFmtId="43" fontId="27" fillId="0" borderId="0" xfId="3" applyFont="1" applyAlignment="1">
      <alignment horizontal="right" vertical="center"/>
    </xf>
    <xf numFmtId="43" fontId="28" fillId="0" borderId="0" xfId="3" applyFont="1" applyFill="1" applyAlignment="1">
      <alignment horizontal="right" vertical="center"/>
    </xf>
    <xf numFmtId="4" fontId="28" fillId="0" borderId="0" xfId="1" applyNumberFormat="1" applyFont="1" applyAlignment="1">
      <alignment vertical="center"/>
    </xf>
    <xf numFmtId="0" fontId="30" fillId="0" borderId="0" xfId="4" applyFont="1" applyAlignment="1">
      <alignment vertical="top" wrapText="1"/>
    </xf>
    <xf numFmtId="0" fontId="31" fillId="0" borderId="0" xfId="4" applyFont="1" applyAlignment="1">
      <alignment vertical="top" wrapText="1"/>
    </xf>
    <xf numFmtId="0" fontId="32" fillId="0" borderId="0" xfId="4" applyFont="1" applyAlignment="1">
      <alignment vertical="top" wrapText="1"/>
    </xf>
    <xf numFmtId="0" fontId="31" fillId="0" borderId="0" xfId="4" applyFont="1" applyAlignment="1">
      <alignment vertical="top"/>
    </xf>
    <xf numFmtId="0" fontId="31" fillId="0" borderId="0" xfId="4" applyFont="1" applyAlignment="1">
      <alignment horizontal="left" vertical="top" wrapText="1"/>
    </xf>
    <xf numFmtId="0" fontId="32" fillId="4" borderId="0" xfId="4" applyFont="1" applyFill="1" applyAlignment="1">
      <alignment vertical="top"/>
    </xf>
    <xf numFmtId="4" fontId="32" fillId="4" borderId="0" xfId="1" applyNumberFormat="1" applyFont="1" applyFill="1" applyAlignment="1">
      <alignment vertical="center"/>
    </xf>
    <xf numFmtId="0" fontId="32" fillId="4" borderId="0" xfId="4" applyFont="1" applyFill="1" applyAlignment="1">
      <alignment horizontal="left" vertical="top" wrapText="1"/>
    </xf>
    <xf numFmtId="0" fontId="32" fillId="0" borderId="0" xfId="4" applyFont="1" applyAlignment="1">
      <alignment horizontal="left" vertical="top" wrapText="1"/>
    </xf>
    <xf numFmtId="0" fontId="32" fillId="0" borderId="0" xfId="4" applyFont="1" applyAlignment="1">
      <alignment vertical="top"/>
    </xf>
    <xf numFmtId="4" fontId="32" fillId="0" borderId="0" xfId="1" applyNumberFormat="1" applyFont="1" applyAlignment="1">
      <alignment vertical="center"/>
    </xf>
    <xf numFmtId="0" fontId="31" fillId="0" borderId="0" xfId="0" applyFont="1"/>
    <xf numFmtId="0" fontId="32" fillId="0" borderId="0" xfId="0" applyFont="1"/>
    <xf numFmtId="0" fontId="31" fillId="0" borderId="33" xfId="0" applyFont="1" applyBorder="1"/>
    <xf numFmtId="0" fontId="32" fillId="0" borderId="33" xfId="0" applyFont="1" applyBorder="1" applyAlignment="1">
      <alignment horizontal="right"/>
    </xf>
    <xf numFmtId="0" fontId="31" fillId="0" borderId="0" xfId="0" applyFont="1" applyAlignment="1">
      <alignment horizontal="right"/>
    </xf>
    <xf numFmtId="0" fontId="31" fillId="0" borderId="33" xfId="0" applyFont="1" applyBorder="1" applyAlignment="1">
      <alignment horizontal="right"/>
    </xf>
    <xf numFmtId="0" fontId="28" fillId="0" borderId="0" xfId="1" applyFont="1" applyAlignment="1">
      <alignment horizontal="left" vertical="center"/>
    </xf>
    <xf numFmtId="0" fontId="28" fillId="0" borderId="0" xfId="1" applyFont="1" applyAlignment="1">
      <alignment vertical="center"/>
    </xf>
    <xf numFmtId="0" fontId="28" fillId="0" borderId="0" xfId="1" applyFont="1" applyAlignment="1">
      <alignment vertical="center" wrapText="1"/>
    </xf>
    <xf numFmtId="0" fontId="28" fillId="0" borderId="0" xfId="1" applyFont="1" applyAlignment="1">
      <alignment horizontal="center" vertical="center"/>
    </xf>
    <xf numFmtId="43" fontId="22" fillId="0" borderId="0" xfId="3" applyFont="1" applyFill="1" applyAlignment="1" applyProtection="1">
      <alignment vertical="center" wrapText="1"/>
    </xf>
    <xf numFmtId="2" fontId="23" fillId="0" borderId="34" xfId="3" applyNumberFormat="1" applyFont="1" applyBorder="1" applyAlignment="1" applyProtection="1">
      <alignment horizontal="center" vertical="center" wrapText="1"/>
    </xf>
    <xf numFmtId="4" fontId="24" fillId="9" borderId="34" xfId="2" applyNumberFormat="1" applyFont="1" applyFill="1" applyBorder="1" applyAlignment="1" applyProtection="1">
      <alignment horizontal="center" vertical="center" wrapText="1"/>
    </xf>
    <xf numFmtId="4" fontId="24" fillId="9" borderId="1" xfId="2" applyNumberFormat="1" applyFont="1" applyFill="1" applyBorder="1" applyAlignment="1" applyProtection="1">
      <alignment horizontal="right" vertical="center"/>
      <protection locked="0"/>
    </xf>
    <xf numFmtId="4" fontId="23" fillId="0" borderId="1" xfId="2" applyNumberFormat="1" applyFont="1" applyBorder="1" applyAlignment="1" applyProtection="1">
      <alignment horizontal="right" vertical="center"/>
      <protection locked="0"/>
    </xf>
    <xf numFmtId="43" fontId="40" fillId="7" borderId="38" xfId="3" applyFont="1" applyFill="1" applyBorder="1" applyAlignment="1" applyProtection="1">
      <alignment horizontal="center" vertical="center" wrapText="1"/>
    </xf>
    <xf numFmtId="164" fontId="40" fillId="7" borderId="43" xfId="3" applyNumberFormat="1" applyFont="1" applyFill="1" applyBorder="1" applyAlignment="1" applyProtection="1">
      <alignment horizontal="right" vertical="center" wrapText="1"/>
    </xf>
    <xf numFmtId="164" fontId="40" fillId="7" borderId="0" xfId="3" applyNumberFormat="1" applyFont="1" applyFill="1" applyBorder="1" applyAlignment="1" applyProtection="1">
      <alignment horizontal="right" vertical="center" wrapText="1"/>
    </xf>
    <xf numFmtId="4" fontId="40" fillId="7" borderId="22" xfId="3" applyNumberFormat="1" applyFont="1" applyFill="1" applyBorder="1" applyAlignment="1" applyProtection="1">
      <alignment horizontal="right" vertical="center" wrapText="1"/>
    </xf>
    <xf numFmtId="0" fontId="23" fillId="0" borderId="1" xfId="7" applyFont="1" applyBorder="1" applyAlignment="1" applyProtection="1">
      <alignment vertical="center"/>
      <protection locked="0"/>
    </xf>
    <xf numFmtId="4" fontId="24" fillId="9" borderId="1" xfId="2" applyNumberFormat="1" applyFont="1" applyFill="1" applyBorder="1" applyAlignment="1" applyProtection="1">
      <alignment horizontal="center" vertical="center" wrapText="1"/>
    </xf>
    <xf numFmtId="4" fontId="23" fillId="0" borderId="1" xfId="2" applyNumberFormat="1" applyFont="1" applyBorder="1" applyAlignment="1" applyProtection="1">
      <alignment horizontal="center" vertical="center"/>
      <protection locked="0"/>
    </xf>
    <xf numFmtId="4" fontId="23" fillId="0" borderId="1" xfId="2" applyNumberFormat="1" applyFont="1" applyFill="1" applyBorder="1" applyAlignment="1" applyProtection="1">
      <alignment horizontal="center" vertical="center" wrapText="1"/>
    </xf>
    <xf numFmtId="43" fontId="40" fillId="7" borderId="47" xfId="2" applyFont="1" applyFill="1" applyBorder="1" applyAlignment="1" applyProtection="1">
      <alignment horizontal="center" vertical="center" wrapText="1"/>
    </xf>
    <xf numFmtId="43" fontId="51" fillId="7" borderId="1" xfId="2" applyFont="1" applyFill="1" applyBorder="1" applyAlignment="1" applyProtection="1">
      <alignment horizontal="center" vertical="center" wrapText="1"/>
    </xf>
    <xf numFmtId="4" fontId="51" fillId="7" borderId="3" xfId="2" applyNumberFormat="1" applyFont="1" applyFill="1" applyBorder="1" applyAlignment="1" applyProtection="1">
      <alignment horizontal="center" vertical="center" wrapText="1"/>
    </xf>
    <xf numFmtId="4" fontId="51" fillId="7" borderId="1" xfId="2" applyNumberFormat="1" applyFont="1" applyFill="1" applyBorder="1" applyAlignment="1" applyProtection="1">
      <alignment horizontal="center" vertical="center" wrapText="1"/>
    </xf>
    <xf numFmtId="4" fontId="40" fillId="7" borderId="7" xfId="3" applyNumberFormat="1" applyFont="1" applyFill="1" applyBorder="1" applyAlignment="1" applyProtection="1">
      <alignment horizontal="center" vertical="center" wrapText="1"/>
    </xf>
    <xf numFmtId="0" fontId="37" fillId="0" borderId="1" xfId="0" applyFont="1" applyBorder="1" applyProtection="1">
      <protection locked="0"/>
    </xf>
    <xf numFmtId="0" fontId="37" fillId="0" borderId="1" xfId="0" applyFont="1" applyBorder="1" applyAlignment="1" applyProtection="1">
      <alignment horizontal="right"/>
      <protection locked="0"/>
    </xf>
    <xf numFmtId="0" fontId="37" fillId="0" borderId="1" xfId="0" applyFont="1" applyBorder="1" applyAlignment="1" applyProtection="1">
      <alignment horizontal="center"/>
      <protection locked="0"/>
    </xf>
    <xf numFmtId="0" fontId="37" fillId="0" borderId="3" xfId="0" applyFont="1" applyBorder="1" applyAlignment="1" applyProtection="1">
      <alignment horizontal="right"/>
      <protection locked="0"/>
    </xf>
    <xf numFmtId="43" fontId="51" fillId="7" borderId="56" xfId="2" applyFont="1" applyFill="1" applyBorder="1" applyAlignment="1" applyProtection="1">
      <alignment horizontal="center" vertical="center" wrapText="1"/>
    </xf>
    <xf numFmtId="164" fontId="24" fillId="8" borderId="1" xfId="3" applyNumberFormat="1" applyFont="1" applyFill="1" applyBorder="1" applyAlignment="1" applyProtection="1">
      <alignment horizontal="right" vertical="center" wrapText="1"/>
    </xf>
    <xf numFmtId="4" fontId="24" fillId="8" borderId="1" xfId="2" applyNumberFormat="1" applyFont="1" applyFill="1" applyBorder="1" applyAlignment="1" applyProtection="1">
      <alignment horizontal="center" vertical="center" wrapText="1"/>
      <protection locked="0"/>
    </xf>
    <xf numFmtId="4" fontId="24" fillId="8" borderId="1" xfId="2" applyNumberFormat="1" applyFont="1" applyFill="1" applyBorder="1" applyAlignment="1" applyProtection="1">
      <alignment horizontal="right" vertical="center" wrapText="1"/>
    </xf>
    <xf numFmtId="4" fontId="24" fillId="8" borderId="34" xfId="2" applyNumberFormat="1" applyFont="1" applyFill="1" applyBorder="1" applyAlignment="1" applyProtection="1">
      <alignment horizontal="center" vertical="center" wrapText="1"/>
    </xf>
    <xf numFmtId="4" fontId="24" fillId="8" borderId="3" xfId="2" applyNumberFormat="1" applyFont="1" applyFill="1" applyBorder="1" applyAlignment="1" applyProtection="1">
      <alignment horizontal="right" vertical="center" wrapText="1"/>
    </xf>
    <xf numFmtId="4" fontId="24" fillId="9" borderId="3" xfId="2" applyNumberFormat="1" applyFont="1" applyFill="1" applyBorder="1" applyAlignment="1" applyProtection="1">
      <alignment horizontal="center" vertical="center" wrapText="1"/>
    </xf>
    <xf numFmtId="4" fontId="23" fillId="0" borderId="3" xfId="2" applyNumberFormat="1" applyFont="1" applyFill="1" applyBorder="1" applyAlignment="1" applyProtection="1">
      <alignment horizontal="center" vertical="center" wrapText="1"/>
    </xf>
    <xf numFmtId="0" fontId="23" fillId="0" borderId="60" xfId="7" applyFont="1" applyBorder="1" applyAlignment="1" applyProtection="1">
      <alignment vertical="center"/>
      <protection locked="0"/>
    </xf>
    <xf numFmtId="4" fontId="23" fillId="0" borderId="60" xfId="2" applyNumberFormat="1" applyFont="1" applyBorder="1" applyAlignment="1" applyProtection="1">
      <alignment horizontal="center" vertical="center"/>
      <protection locked="0"/>
    </xf>
    <xf numFmtId="4" fontId="23" fillId="0" borderId="60" xfId="2" applyNumberFormat="1" applyFont="1" applyFill="1" applyBorder="1" applyAlignment="1" applyProtection="1">
      <alignment horizontal="center" vertical="center" wrapText="1"/>
    </xf>
    <xf numFmtId="2" fontId="23" fillId="0" borderId="63" xfId="3" applyNumberFormat="1" applyFont="1" applyBorder="1" applyAlignment="1" applyProtection="1">
      <alignment horizontal="center" vertical="center" wrapText="1"/>
    </xf>
    <xf numFmtId="4" fontId="23" fillId="0" borderId="64" xfId="2" applyNumberFormat="1" applyFont="1" applyFill="1" applyBorder="1" applyAlignment="1" applyProtection="1">
      <alignment horizontal="center" vertical="center" wrapText="1"/>
    </xf>
    <xf numFmtId="4" fontId="23" fillId="0" borderId="60" xfId="8" applyNumberFormat="1" applyFont="1" applyBorder="1" applyAlignment="1" applyProtection="1">
      <alignment horizontal="left" vertical="top" wrapText="1"/>
      <protection locked="0"/>
    </xf>
    <xf numFmtId="4" fontId="23" fillId="0" borderId="34" xfId="2" applyNumberFormat="1" applyFont="1" applyFill="1" applyBorder="1" applyAlignment="1" applyProtection="1">
      <alignment horizontal="center" vertical="center" wrapText="1"/>
    </xf>
    <xf numFmtId="43" fontId="51" fillId="7" borderId="62" xfId="2" applyFont="1" applyFill="1" applyBorder="1" applyAlignment="1" applyProtection="1">
      <alignment horizontal="center" vertical="center" wrapText="1"/>
    </xf>
    <xf numFmtId="43" fontId="51" fillId="7" borderId="63" xfId="2" applyFont="1" applyFill="1" applyBorder="1" applyAlignment="1" applyProtection="1">
      <alignment horizontal="center" vertical="center" wrapText="1"/>
    </xf>
    <xf numFmtId="4" fontId="54" fillId="9" borderId="34" xfId="2" applyNumberFormat="1" applyFont="1" applyFill="1" applyBorder="1" applyAlignment="1" applyProtection="1">
      <alignment horizontal="center" vertical="center" wrapText="1"/>
    </xf>
    <xf numFmtId="2" fontId="42" fillId="0" borderId="34" xfId="3" applyNumberFormat="1" applyFont="1" applyBorder="1" applyAlignment="1" applyProtection="1">
      <alignment horizontal="center" vertical="center" wrapText="1"/>
    </xf>
    <xf numFmtId="43" fontId="40" fillId="7" borderId="47" xfId="2" applyFont="1" applyFill="1" applyBorder="1" applyAlignment="1" applyProtection="1">
      <alignment horizontal="left" vertical="center" wrapText="1"/>
    </xf>
    <xf numFmtId="49" fontId="23" fillId="0" borderId="0" xfId="0" applyNumberFormat="1" applyFont="1" applyProtection="1"/>
    <xf numFmtId="0" fontId="23" fillId="0" borderId="0" xfId="0" applyFont="1" applyProtection="1"/>
    <xf numFmtId="0" fontId="33" fillId="0" borderId="0" xfId="0" applyFont="1" applyProtection="1"/>
    <xf numFmtId="0" fontId="47" fillId="0" borderId="0" xfId="0" applyFont="1" applyAlignment="1" applyProtection="1">
      <alignment horizontal="right"/>
    </xf>
    <xf numFmtId="0" fontId="43" fillId="0" borderId="0" xfId="0" applyFont="1" applyAlignment="1" applyProtection="1">
      <alignment vertical="center"/>
    </xf>
    <xf numFmtId="0" fontId="43" fillId="0" borderId="0" xfId="7" applyFont="1" applyAlignment="1" applyProtection="1">
      <alignment vertical="center"/>
    </xf>
    <xf numFmtId="0" fontId="37" fillId="0" borderId="0" xfId="0" applyFont="1" applyAlignment="1" applyProtection="1">
      <alignment horizontal="right"/>
    </xf>
    <xf numFmtId="0" fontId="48" fillId="0" borderId="0" xfId="0" applyFont="1" applyAlignment="1" applyProtection="1">
      <alignment vertical="center"/>
    </xf>
    <xf numFmtId="0" fontId="41" fillId="0" borderId="0" xfId="7" applyFont="1" applyFill="1" applyBorder="1" applyAlignment="1" applyProtection="1">
      <alignment vertical="center" wrapText="1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horizontal="center" vertical="center" wrapText="1"/>
    </xf>
    <xf numFmtId="0" fontId="38" fillId="0" borderId="0" xfId="0" applyFont="1" applyAlignment="1" applyProtection="1">
      <alignment horizontal="right" vertical="center"/>
    </xf>
    <xf numFmtId="0" fontId="24" fillId="0" borderId="0" xfId="0" applyFont="1" applyProtection="1"/>
    <xf numFmtId="0" fontId="24" fillId="0" borderId="44" xfId="0" applyFont="1" applyBorder="1" applyAlignment="1" applyProtection="1">
      <alignment horizontal="center" vertical="center" wrapText="1"/>
    </xf>
    <xf numFmtId="0" fontId="24" fillId="0" borderId="30" xfId="0" applyFont="1" applyBorder="1" applyAlignment="1" applyProtection="1">
      <alignment horizontal="center" vertical="center" wrapText="1"/>
    </xf>
    <xf numFmtId="0" fontId="24" fillId="0" borderId="57" xfId="1" applyFont="1" applyBorder="1" applyAlignment="1" applyProtection="1">
      <alignment horizontal="center" vertical="center" wrapText="1"/>
    </xf>
    <xf numFmtId="0" fontId="24" fillId="0" borderId="58" xfId="1" applyFont="1" applyBorder="1" applyAlignment="1" applyProtection="1">
      <alignment horizontal="center" vertical="center" wrapText="1"/>
    </xf>
    <xf numFmtId="0" fontId="24" fillId="0" borderId="0" xfId="1" applyFont="1" applyBorder="1" applyAlignment="1" applyProtection="1">
      <alignment horizontal="center" vertical="center" wrapText="1"/>
    </xf>
    <xf numFmtId="0" fontId="24" fillId="0" borderId="43" xfId="1" applyFont="1" applyBorder="1" applyAlignment="1" applyProtection="1">
      <alignment horizontal="center" vertical="center" wrapText="1"/>
    </xf>
    <xf numFmtId="0" fontId="24" fillId="0" borderId="59" xfId="1" applyFont="1" applyBorder="1" applyAlignment="1" applyProtection="1">
      <alignment horizontal="center" vertical="center" wrapText="1"/>
    </xf>
    <xf numFmtId="0" fontId="23" fillId="0" borderId="0" xfId="0" applyFont="1" applyAlignment="1" applyProtection="1">
      <alignment vertical="center"/>
    </xf>
    <xf numFmtId="1" fontId="39" fillId="7" borderId="45" xfId="1" applyNumberFormat="1" applyFont="1" applyFill="1" applyBorder="1" applyAlignment="1" applyProtection="1">
      <alignment horizontal="left" vertical="center" wrapText="1"/>
    </xf>
    <xf numFmtId="49" fontId="39" fillId="7" borderId="46" xfId="1" applyNumberFormat="1" applyFont="1" applyFill="1" applyBorder="1" applyAlignment="1" applyProtection="1">
      <alignment horizontal="left" vertical="center" wrapText="1"/>
    </xf>
    <xf numFmtId="0" fontId="41" fillId="10" borderId="33" xfId="7" applyFont="1" applyFill="1" applyBorder="1" applyAlignment="1" applyProtection="1">
      <alignment horizontal="center" vertical="center" wrapText="1"/>
    </xf>
    <xf numFmtId="0" fontId="24" fillId="8" borderId="2" xfId="1" applyFont="1" applyFill="1" applyBorder="1" applyAlignment="1" applyProtection="1">
      <alignment horizontal="center" vertical="center"/>
    </xf>
    <xf numFmtId="0" fontId="24" fillId="8" borderId="1" xfId="0" applyFont="1" applyFill="1" applyBorder="1" applyAlignment="1" applyProtection="1">
      <alignment horizontal="center" vertical="center" wrapText="1"/>
    </xf>
    <xf numFmtId="0" fontId="24" fillId="8" borderId="1" xfId="0" applyFont="1" applyFill="1" applyBorder="1" applyAlignment="1" applyProtection="1">
      <alignment horizontal="left" vertical="center" wrapText="1"/>
    </xf>
    <xf numFmtId="0" fontId="24" fillId="8" borderId="1" xfId="1" applyFont="1" applyFill="1" applyBorder="1" applyAlignment="1" applyProtection="1">
      <alignment horizontal="center" vertical="center" wrapText="1"/>
    </xf>
    <xf numFmtId="0" fontId="24" fillId="8" borderId="62" xfId="1" applyFont="1" applyFill="1" applyBorder="1" applyAlignment="1" applyProtection="1">
      <alignment horizontal="center" vertical="center" wrapText="1"/>
    </xf>
    <xf numFmtId="4" fontId="24" fillId="8" borderId="1" xfId="2" applyNumberFormat="1" applyFont="1" applyFill="1" applyBorder="1" applyAlignment="1" applyProtection="1">
      <alignment horizontal="center" vertical="center" wrapText="1"/>
    </xf>
    <xf numFmtId="0" fontId="23" fillId="0" borderId="1" xfId="7" applyFont="1" applyBorder="1" applyAlignment="1" applyProtection="1">
      <alignment vertical="center"/>
    </xf>
    <xf numFmtId="49" fontId="24" fillId="9" borderId="2" xfId="5" applyNumberFormat="1" applyFont="1" applyFill="1" applyBorder="1" applyAlignment="1" applyProtection="1">
      <alignment horizontal="center" vertical="center"/>
    </xf>
    <xf numFmtId="0" fontId="24" fillId="9" borderId="1" xfId="1" applyFont="1" applyFill="1" applyBorder="1" applyAlignment="1" applyProtection="1">
      <alignment horizontal="center" vertical="center"/>
    </xf>
    <xf numFmtId="0" fontId="24" fillId="9" borderId="1" xfId="5" applyFont="1" applyFill="1" applyBorder="1" applyAlignment="1" applyProtection="1">
      <alignment horizontal="left" vertical="center" wrapText="1"/>
    </xf>
    <xf numFmtId="0" fontId="24" fillId="9" borderId="1" xfId="5" applyFont="1" applyFill="1" applyBorder="1" applyAlignment="1" applyProtection="1">
      <alignment horizontal="center" vertical="center" wrapText="1"/>
    </xf>
    <xf numFmtId="3" fontId="24" fillId="9" borderId="1" xfId="5" applyNumberFormat="1" applyFont="1" applyFill="1" applyBorder="1" applyAlignment="1" applyProtection="1">
      <alignment horizontal="center" vertical="center"/>
    </xf>
    <xf numFmtId="0" fontId="23" fillId="9" borderId="62" xfId="1" applyFont="1" applyFill="1" applyBorder="1" applyAlignment="1" applyProtection="1">
      <alignment horizontal="center" vertical="center" wrapText="1"/>
    </xf>
    <xf numFmtId="4" fontId="24" fillId="9" borderId="1" xfId="2" applyNumberFormat="1" applyFont="1" applyFill="1" applyBorder="1" applyAlignment="1" applyProtection="1">
      <alignment horizontal="center" vertical="center"/>
    </xf>
    <xf numFmtId="4" fontId="23" fillId="0" borderId="60" xfId="11" applyNumberFormat="1" applyFont="1" applyBorder="1" applyAlignment="1" applyProtection="1">
      <alignment vertical="center" wrapText="1"/>
    </xf>
    <xf numFmtId="0" fontId="55" fillId="0" borderId="0" xfId="9" applyFont="1" applyAlignment="1" applyProtection="1">
      <alignment vertical="center"/>
    </xf>
    <xf numFmtId="49" fontId="23" fillId="0" borderId="2" xfId="5" applyNumberFormat="1" applyFont="1" applyBorder="1" applyAlignment="1" applyProtection="1">
      <alignment horizontal="center" vertical="center"/>
    </xf>
    <xf numFmtId="0" fontId="24" fillId="0" borderId="1" xfId="1" applyFont="1" applyBorder="1" applyAlignment="1" applyProtection="1">
      <alignment horizontal="center" vertical="center"/>
    </xf>
    <xf numFmtId="0" fontId="23" fillId="0" borderId="1" xfId="0" applyFont="1" applyBorder="1" applyAlignment="1" applyProtection="1">
      <alignment horizontal="center" vertical="center" wrapText="1"/>
    </xf>
    <xf numFmtId="0" fontId="43" fillId="0" borderId="1" xfId="0" applyFont="1" applyBorder="1" applyAlignment="1" applyProtection="1">
      <alignment wrapText="1"/>
    </xf>
    <xf numFmtId="0" fontId="23" fillId="0" borderId="1" xfId="5" applyFont="1" applyBorder="1" applyAlignment="1" applyProtection="1">
      <alignment horizontal="center" vertical="center" wrapText="1"/>
    </xf>
    <xf numFmtId="3" fontId="23" fillId="4" borderId="1" xfId="5" applyNumberFormat="1" applyFont="1" applyFill="1" applyBorder="1" applyAlignment="1" applyProtection="1">
      <alignment horizontal="center" vertical="center"/>
    </xf>
    <xf numFmtId="0" fontId="23" fillId="0" borderId="62" xfId="1" applyFont="1" applyBorder="1" applyAlignment="1" applyProtection="1">
      <alignment horizontal="center" vertical="center" wrapText="1"/>
    </xf>
    <xf numFmtId="4" fontId="23" fillId="0" borderId="1" xfId="2" applyNumberFormat="1" applyFont="1" applyBorder="1" applyAlignment="1" applyProtection="1">
      <alignment horizontal="center" vertical="center"/>
    </xf>
    <xf numFmtId="0" fontId="23" fillId="0" borderId="0" xfId="0" applyFont="1" applyAlignment="1" applyProtection="1">
      <alignment vertical="center" wrapText="1"/>
    </xf>
    <xf numFmtId="0" fontId="24" fillId="0" borderId="60" xfId="1" applyFont="1" applyBorder="1" applyAlignment="1" applyProtection="1">
      <alignment horizontal="center" vertical="center"/>
    </xf>
    <xf numFmtId="0" fontId="23" fillId="0" borderId="60" xfId="0" applyFont="1" applyBorder="1" applyAlignment="1" applyProtection="1">
      <alignment horizontal="center" vertical="center" wrapText="1"/>
    </xf>
    <xf numFmtId="0" fontId="43" fillId="0" borderId="60" xfId="0" applyFont="1" applyBorder="1" applyAlignment="1" applyProtection="1">
      <alignment horizontal="left" vertical="top" wrapText="1"/>
    </xf>
    <xf numFmtId="4" fontId="23" fillId="0" borderId="60" xfId="2" applyNumberFormat="1" applyFont="1" applyBorder="1" applyAlignment="1" applyProtection="1">
      <alignment horizontal="center" vertical="center"/>
    </xf>
    <xf numFmtId="0" fontId="23" fillId="0" borderId="60" xfId="7" applyFont="1" applyBorder="1" applyAlignment="1" applyProtection="1">
      <alignment vertical="center"/>
    </xf>
    <xf numFmtId="49" fontId="23" fillId="0" borderId="61" xfId="5" applyNumberFormat="1" applyFont="1" applyBorder="1" applyAlignment="1" applyProtection="1">
      <alignment horizontal="center" vertical="center"/>
    </xf>
    <xf numFmtId="0" fontId="43" fillId="0" borderId="60" xfId="0" applyFont="1" applyBorder="1" applyAlignment="1" applyProtection="1">
      <alignment wrapText="1"/>
    </xf>
    <xf numFmtId="3" fontId="23" fillId="4" borderId="60" xfId="5" applyNumberFormat="1" applyFont="1" applyFill="1" applyBorder="1" applyAlignment="1" applyProtection="1">
      <alignment horizontal="center" vertical="center"/>
    </xf>
    <xf numFmtId="49" fontId="23" fillId="0" borderId="61" xfId="5" applyNumberFormat="1" applyFont="1" applyFill="1" applyBorder="1" applyAlignment="1" applyProtection="1">
      <alignment horizontal="center" vertical="center"/>
    </xf>
    <xf numFmtId="0" fontId="24" fillId="0" borderId="60" xfId="1" applyFont="1" applyFill="1" applyBorder="1" applyAlignment="1" applyProtection="1">
      <alignment horizontal="center" vertical="center"/>
    </xf>
    <xf numFmtId="0" fontId="43" fillId="0" borderId="1" xfId="0" applyFont="1" applyBorder="1" applyAlignment="1" applyProtection="1">
      <alignment horizontal="left" vertical="top" wrapText="1"/>
    </xf>
    <xf numFmtId="3" fontId="23" fillId="0" borderId="60" xfId="5" applyNumberFormat="1" applyFont="1" applyFill="1" applyBorder="1" applyAlignment="1" applyProtection="1">
      <alignment horizontal="center" vertical="center"/>
    </xf>
    <xf numFmtId="0" fontId="23" fillId="0" borderId="62" xfId="1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vertical="center" wrapText="1"/>
    </xf>
    <xf numFmtId="0" fontId="43" fillId="0" borderId="1" xfId="0" applyFont="1" applyBorder="1" applyAlignment="1" applyProtection="1">
      <alignment horizontal="left" vertical="center" wrapText="1"/>
    </xf>
    <xf numFmtId="1" fontId="50" fillId="7" borderId="2" xfId="1" applyNumberFormat="1" applyFont="1" applyFill="1" applyBorder="1" applyAlignment="1" applyProtection="1">
      <alignment horizontal="left" vertical="center" wrapText="1"/>
    </xf>
    <xf numFmtId="49" fontId="50" fillId="7" borderId="5" xfId="1" applyNumberFormat="1" applyFont="1" applyFill="1" applyBorder="1" applyAlignment="1" applyProtection="1">
      <alignment horizontal="left" vertical="center" wrapText="1"/>
    </xf>
    <xf numFmtId="49" fontId="24" fillId="11" borderId="48" xfId="1" applyNumberFormat="1" applyFont="1" applyFill="1" applyBorder="1" applyAlignment="1" applyProtection="1">
      <alignment vertical="center"/>
    </xf>
    <xf numFmtId="49" fontId="24" fillId="11" borderId="33" xfId="1" applyNumberFormat="1" applyFont="1" applyFill="1" applyBorder="1" applyAlignment="1" applyProtection="1">
      <alignment vertical="center"/>
    </xf>
    <xf numFmtId="49" fontId="24" fillId="11" borderId="3" xfId="1" applyNumberFormat="1" applyFont="1" applyFill="1" applyBorder="1" applyAlignment="1" applyProtection="1">
      <alignment vertical="center"/>
    </xf>
    <xf numFmtId="0" fontId="43" fillId="0" borderId="0" xfId="0" applyFont="1" applyProtection="1"/>
    <xf numFmtId="0" fontId="43" fillId="0" borderId="0" xfId="0" applyFont="1" applyAlignment="1" applyProtection="1">
      <alignment horizontal="left" vertical="center"/>
    </xf>
    <xf numFmtId="4" fontId="23" fillId="0" borderId="1" xfId="8" applyNumberFormat="1" applyFont="1" applyBorder="1" applyAlignment="1" applyProtection="1">
      <alignment horizontal="left" vertical="top" wrapText="1"/>
    </xf>
    <xf numFmtId="0" fontId="49" fillId="0" borderId="0" xfId="1" applyFont="1" applyAlignment="1" applyProtection="1">
      <alignment horizontal="center" vertical="center"/>
    </xf>
    <xf numFmtId="0" fontId="49" fillId="0" borderId="0" xfId="1" applyFont="1" applyAlignment="1" applyProtection="1">
      <alignment vertical="center"/>
    </xf>
    <xf numFmtId="0" fontId="49" fillId="0" borderId="0" xfId="1" applyFont="1" applyAlignment="1" applyProtection="1">
      <alignment vertical="center" wrapText="1"/>
    </xf>
    <xf numFmtId="4" fontId="49" fillId="0" borderId="0" xfId="1" applyNumberFormat="1" applyFont="1" applyAlignment="1" applyProtection="1">
      <alignment vertical="center"/>
    </xf>
    <xf numFmtId="0" fontId="23" fillId="0" borderId="0" xfId="7" applyFont="1" applyBorder="1" applyAlignment="1" applyProtection="1">
      <alignment vertical="center"/>
    </xf>
    <xf numFmtId="4" fontId="23" fillId="0" borderId="0" xfId="8" applyNumberFormat="1" applyFont="1" applyBorder="1" applyAlignment="1" applyProtection="1">
      <alignment horizontal="left" vertical="top" wrapText="1"/>
    </xf>
    <xf numFmtId="0" fontId="43" fillId="0" borderId="0" xfId="7" applyFont="1" applyBorder="1" applyAlignment="1" applyProtection="1">
      <alignment vertical="center"/>
    </xf>
    <xf numFmtId="4" fontId="24" fillId="9" borderId="63" xfId="2" applyNumberFormat="1" applyFont="1" applyFill="1" applyBorder="1" applyAlignment="1" applyProtection="1">
      <alignment horizontal="center" vertical="center" wrapText="1"/>
      <protection locked="0"/>
    </xf>
    <xf numFmtId="2" fontId="23" fillId="0" borderId="63" xfId="3" applyNumberFormat="1" applyFont="1" applyBorder="1" applyAlignment="1" applyProtection="1">
      <alignment horizontal="center" vertical="center" wrapText="1"/>
      <protection locked="0"/>
    </xf>
    <xf numFmtId="4" fontId="24" fillId="9" borderId="1" xfId="2" applyNumberFormat="1" applyFont="1" applyFill="1" applyBorder="1" applyAlignment="1" applyProtection="1">
      <alignment horizontal="center" vertical="center" wrapText="1"/>
      <protection locked="0"/>
    </xf>
    <xf numFmtId="4" fontId="24" fillId="0" borderId="63" xfId="2" applyNumberFormat="1" applyFont="1" applyFill="1" applyBorder="1" applyAlignment="1" applyProtection="1">
      <alignment horizontal="center" vertical="center" wrapText="1"/>
      <protection locked="0"/>
    </xf>
    <xf numFmtId="4" fontId="24" fillId="0" borderId="60" xfId="2" applyNumberFormat="1" applyFont="1" applyFill="1" applyBorder="1" applyAlignment="1" applyProtection="1">
      <alignment horizontal="center" vertical="center" wrapText="1"/>
      <protection locked="0"/>
    </xf>
    <xf numFmtId="49" fontId="42" fillId="0" borderId="2" xfId="0" applyNumberFormat="1" applyFont="1" applyBorder="1" applyAlignment="1" applyProtection="1">
      <alignment horizontal="center" vertical="center"/>
      <protection locked="0"/>
    </xf>
    <xf numFmtId="0" fontId="44" fillId="0" borderId="1" xfId="0" applyFont="1" applyBorder="1" applyAlignment="1" applyProtection="1">
      <alignment vertical="center" wrapText="1"/>
      <protection locked="0"/>
    </xf>
    <xf numFmtId="0" fontId="23" fillId="0" borderId="1" xfId="1" applyFont="1" applyBorder="1" applyAlignment="1" applyProtection="1">
      <alignment vertical="center" wrapText="1"/>
      <protection locked="0"/>
    </xf>
    <xf numFmtId="0" fontId="44" fillId="0" borderId="3" xfId="0" applyFont="1" applyBorder="1" applyAlignment="1" applyProtection="1">
      <alignment vertical="center" wrapText="1"/>
      <protection locked="0"/>
    </xf>
    <xf numFmtId="49" fontId="23" fillId="0" borderId="2" xfId="0" applyNumberFormat="1" applyFont="1" applyBorder="1" applyAlignment="1" applyProtection="1">
      <alignment horizontal="center" vertical="center"/>
      <protection locked="0"/>
    </xf>
    <xf numFmtId="49" fontId="23" fillId="0" borderId="1" xfId="0" applyNumberFormat="1" applyFont="1" applyBorder="1" applyProtection="1">
      <protection locked="0"/>
    </xf>
    <xf numFmtId="0" fontId="23" fillId="0" borderId="1" xfId="0" applyFont="1" applyBorder="1" applyProtection="1">
      <protection locked="0"/>
    </xf>
    <xf numFmtId="0" fontId="45" fillId="0" borderId="1" xfId="0" applyFont="1" applyBorder="1" applyProtection="1">
      <protection locked="0"/>
    </xf>
    <xf numFmtId="0" fontId="46" fillId="0" borderId="3" xfId="0" applyFont="1" applyBorder="1" applyProtection="1">
      <protection locked="0"/>
    </xf>
    <xf numFmtId="0" fontId="49" fillId="0" borderId="2" xfId="1" applyFont="1" applyBorder="1" applyAlignment="1" applyProtection="1">
      <alignment horizontal="center" vertical="center"/>
      <protection locked="0"/>
    </xf>
    <xf numFmtId="0" fontId="49" fillId="0" borderId="1" xfId="1" applyFont="1" applyBorder="1" applyAlignment="1" applyProtection="1">
      <alignment vertical="center"/>
      <protection locked="0"/>
    </xf>
    <xf numFmtId="0" fontId="49" fillId="0" borderId="1" xfId="1" applyFont="1" applyBorder="1" applyAlignment="1" applyProtection="1">
      <alignment horizontal="center" vertical="center"/>
      <protection locked="0"/>
    </xf>
    <xf numFmtId="4" fontId="49" fillId="0" borderId="1" xfId="1" applyNumberFormat="1" applyFont="1" applyBorder="1" applyAlignment="1" applyProtection="1">
      <alignment vertical="center"/>
      <protection locked="0"/>
    </xf>
    <xf numFmtId="0" fontId="49" fillId="0" borderId="3" xfId="1" applyFont="1" applyBorder="1" applyAlignment="1" applyProtection="1">
      <alignment vertical="center"/>
      <protection locked="0"/>
    </xf>
    <xf numFmtId="0" fontId="23" fillId="0" borderId="1" xfId="1" applyFont="1" applyBorder="1" applyAlignment="1" applyProtection="1">
      <alignment horizontal="left" vertical="center" wrapText="1"/>
      <protection locked="0"/>
    </xf>
    <xf numFmtId="0" fontId="49" fillId="0" borderId="49" xfId="1" applyFont="1" applyBorder="1" applyAlignment="1" applyProtection="1">
      <alignment horizontal="center" vertical="center"/>
      <protection locked="0"/>
    </xf>
    <xf numFmtId="0" fontId="49" fillId="0" borderId="50" xfId="1" applyFont="1" applyBorder="1" applyAlignment="1" applyProtection="1">
      <alignment vertical="center"/>
      <protection locked="0"/>
    </xf>
    <xf numFmtId="0" fontId="23" fillId="0" borderId="50" xfId="1" applyFont="1" applyBorder="1" applyAlignment="1" applyProtection="1">
      <alignment vertical="center" wrapText="1"/>
      <protection locked="0"/>
    </xf>
    <xf numFmtId="0" fontId="49" fillId="0" borderId="50" xfId="1" applyFont="1" applyBorder="1" applyAlignment="1" applyProtection="1">
      <alignment horizontal="center" vertical="center"/>
      <protection locked="0"/>
    </xf>
    <xf numFmtId="4" fontId="49" fillId="0" borderId="50" xfId="1" applyNumberFormat="1" applyFont="1" applyBorder="1" applyAlignment="1" applyProtection="1">
      <alignment vertical="center"/>
      <protection locked="0"/>
    </xf>
    <xf numFmtId="0" fontId="49" fillId="0" borderId="51" xfId="1" applyFont="1" applyBorder="1" applyAlignment="1" applyProtection="1">
      <alignment vertical="center"/>
      <protection locked="0"/>
    </xf>
    <xf numFmtId="0" fontId="52" fillId="0" borderId="0" xfId="9" applyAlignment="1" applyProtection="1">
      <alignment vertical="center"/>
    </xf>
    <xf numFmtId="164" fontId="40" fillId="7" borderId="0" xfId="3" applyNumberFormat="1" applyFont="1" applyFill="1" applyBorder="1" applyAlignment="1" applyProtection="1">
      <alignment horizontal="right" vertical="center" wrapText="1"/>
      <protection locked="0"/>
    </xf>
    <xf numFmtId="4" fontId="40" fillId="7" borderId="22" xfId="3" applyNumberFormat="1" applyFont="1" applyFill="1" applyBorder="1" applyAlignment="1" applyProtection="1">
      <alignment horizontal="right" vertical="center" wrapText="1"/>
      <protection locked="0"/>
    </xf>
    <xf numFmtId="4" fontId="24" fillId="8" borderId="63" xfId="2" applyNumberFormat="1" applyFont="1" applyFill="1" applyBorder="1" applyAlignment="1" applyProtection="1">
      <alignment horizontal="center" vertical="center" wrapText="1"/>
      <protection locked="0"/>
    </xf>
    <xf numFmtId="0" fontId="35" fillId="0" borderId="0" xfId="0" applyFont="1" applyAlignment="1" applyProtection="1">
      <alignment horizontal="center" vertical="center" wrapText="1"/>
    </xf>
    <xf numFmtId="0" fontId="24" fillId="0" borderId="29" xfId="0" applyFont="1" applyBorder="1" applyAlignment="1" applyProtection="1">
      <alignment horizontal="center" vertical="center" wrapText="1"/>
    </xf>
    <xf numFmtId="164" fontId="24" fillId="8" borderId="1" xfId="3" applyNumberFormat="1" applyFont="1" applyFill="1" applyBorder="1" applyAlignment="1" applyProtection="1">
      <alignment horizontal="center" vertical="center" wrapText="1"/>
    </xf>
    <xf numFmtId="0" fontId="41" fillId="0" borderId="33" xfId="7" applyFont="1" applyFill="1" applyBorder="1" applyAlignment="1" applyProtection="1">
      <alignment horizontal="center" vertical="center" wrapText="1"/>
      <protection locked="0"/>
    </xf>
    <xf numFmtId="0" fontId="24" fillId="0" borderId="24" xfId="0" applyFont="1" applyBorder="1" applyAlignment="1" applyProtection="1">
      <alignment horizontal="center" vertical="center" wrapText="1"/>
    </xf>
    <xf numFmtId="0" fontId="24" fillId="0" borderId="35" xfId="0" applyFont="1" applyBorder="1" applyAlignment="1" applyProtection="1">
      <alignment horizontal="center" vertical="center" wrapText="1"/>
    </xf>
    <xf numFmtId="0" fontId="24" fillId="0" borderId="26" xfId="0" applyFont="1" applyBorder="1" applyAlignment="1" applyProtection="1">
      <alignment horizontal="center" vertical="center" wrapText="1"/>
    </xf>
    <xf numFmtId="0" fontId="24" fillId="0" borderId="32" xfId="0" applyFont="1" applyBorder="1" applyAlignment="1" applyProtection="1">
      <alignment horizontal="center" vertical="center" wrapText="1"/>
    </xf>
    <xf numFmtId="0" fontId="41" fillId="10" borderId="42" xfId="7" applyFont="1" applyFill="1" applyBorder="1" applyAlignment="1" applyProtection="1">
      <alignment horizontal="center" vertical="center" wrapText="1"/>
    </xf>
    <xf numFmtId="0" fontId="41" fillId="10" borderId="43" xfId="7" applyFont="1" applyFill="1" applyBorder="1" applyAlignment="1" applyProtection="1">
      <alignment horizontal="center" vertical="center" wrapText="1"/>
    </xf>
    <xf numFmtId="0" fontId="41" fillId="10" borderId="65" xfId="7" applyFont="1" applyFill="1" applyBorder="1" applyAlignment="1" applyProtection="1">
      <alignment horizontal="center" vertical="center" wrapText="1"/>
    </xf>
    <xf numFmtId="0" fontId="34" fillId="0" borderId="0" xfId="0" applyFont="1" applyAlignment="1" applyProtection="1">
      <alignment horizontal="center" vertical="center" wrapText="1"/>
    </xf>
    <xf numFmtId="0" fontId="35" fillId="0" borderId="0" xfId="0" applyFont="1" applyAlignment="1" applyProtection="1">
      <alignment horizontal="center" vertical="center" wrapText="1"/>
    </xf>
    <xf numFmtId="49" fontId="24" fillId="0" borderId="16" xfId="0" applyNumberFormat="1" applyFont="1" applyBorder="1" applyAlignment="1" applyProtection="1">
      <alignment horizontal="center" vertical="center" wrapText="1"/>
    </xf>
    <xf numFmtId="49" fontId="24" fillId="0" borderId="21" xfId="0" applyNumberFormat="1" applyFont="1" applyBorder="1" applyAlignment="1" applyProtection="1">
      <alignment horizontal="center" vertical="center" wrapText="1"/>
    </xf>
    <xf numFmtId="49" fontId="24" fillId="0" borderId="27" xfId="0" applyNumberFormat="1" applyFont="1" applyBorder="1" applyAlignment="1" applyProtection="1">
      <alignment horizontal="center" vertical="center" wrapText="1"/>
    </xf>
    <xf numFmtId="49" fontId="24" fillId="0" borderId="37" xfId="0" applyNumberFormat="1" applyFont="1" applyBorder="1" applyAlignment="1" applyProtection="1">
      <alignment horizontal="center" vertical="center" wrapText="1"/>
    </xf>
    <xf numFmtId="49" fontId="24" fillId="0" borderId="38" xfId="0" applyNumberFormat="1" applyFont="1" applyBorder="1" applyAlignment="1" applyProtection="1">
      <alignment horizontal="center" vertical="center" wrapText="1"/>
    </xf>
    <xf numFmtId="49" fontId="24" fillId="0" borderId="39" xfId="0" applyNumberFormat="1" applyFont="1" applyBorder="1" applyAlignment="1" applyProtection="1">
      <alignment horizontal="center" vertical="center" wrapText="1"/>
    </xf>
    <xf numFmtId="0" fontId="24" fillId="4" borderId="41" xfId="0" applyFont="1" applyFill="1" applyBorder="1" applyAlignment="1" applyProtection="1">
      <alignment horizontal="center" vertical="center" wrapText="1"/>
    </xf>
    <xf numFmtId="0" fontId="24" fillId="4" borderId="40" xfId="0" applyFont="1" applyFill="1" applyBorder="1" applyAlignment="1" applyProtection="1">
      <alignment horizontal="center" vertical="center" wrapText="1"/>
    </xf>
    <xf numFmtId="0" fontId="24" fillId="4" borderId="4" xfId="0" applyFont="1" applyFill="1" applyBorder="1" applyAlignment="1" applyProtection="1">
      <alignment horizontal="center" vertical="center" wrapText="1"/>
    </xf>
    <xf numFmtId="0" fontId="24" fillId="4" borderId="52" xfId="0" applyFont="1" applyFill="1" applyBorder="1" applyAlignment="1" applyProtection="1">
      <alignment horizontal="center" vertical="center" wrapText="1"/>
    </xf>
    <xf numFmtId="0" fontId="24" fillId="4" borderId="53" xfId="0" applyFont="1" applyFill="1" applyBorder="1" applyAlignment="1" applyProtection="1">
      <alignment horizontal="center" vertical="center" wrapText="1"/>
    </xf>
    <xf numFmtId="0" fontId="24" fillId="4" borderId="54" xfId="0" applyFont="1" applyFill="1" applyBorder="1" applyAlignment="1" applyProtection="1">
      <alignment horizontal="center" vertical="center" wrapText="1"/>
    </xf>
    <xf numFmtId="0" fontId="24" fillId="4" borderId="42" xfId="0" applyFont="1" applyFill="1" applyBorder="1" applyAlignment="1" applyProtection="1">
      <alignment horizontal="center" vertical="center" wrapText="1"/>
    </xf>
    <xf numFmtId="0" fontId="24" fillId="4" borderId="43" xfId="0" applyFont="1" applyFill="1" applyBorder="1" applyAlignment="1" applyProtection="1">
      <alignment horizontal="center" vertical="center" wrapText="1"/>
    </xf>
    <xf numFmtId="0" fontId="24" fillId="4" borderId="36" xfId="0" applyFont="1" applyFill="1" applyBorder="1" applyAlignment="1" applyProtection="1">
      <alignment horizontal="center" vertical="center" wrapText="1"/>
    </xf>
    <xf numFmtId="0" fontId="22" fillId="6" borderId="14" xfId="7" applyFont="1" applyFill="1" applyBorder="1" applyAlignment="1" applyProtection="1">
      <alignment horizontal="center" vertical="center" wrapText="1"/>
      <protection locked="0"/>
    </xf>
    <xf numFmtId="0" fontId="22" fillId="6" borderId="15" xfId="7" applyFont="1" applyFill="1" applyBorder="1" applyAlignment="1" applyProtection="1">
      <alignment horizontal="center" vertical="center" wrapText="1"/>
      <protection locked="0"/>
    </xf>
    <xf numFmtId="0" fontId="24" fillId="0" borderId="55" xfId="0" applyFont="1" applyBorder="1" applyAlignment="1" applyProtection="1">
      <alignment horizontal="center" vertical="center" wrapText="1"/>
    </xf>
    <xf numFmtId="0" fontId="24" fillId="0" borderId="23" xfId="0" applyFont="1" applyBorder="1" applyAlignment="1" applyProtection="1">
      <alignment horizontal="center" vertical="center" wrapText="1"/>
    </xf>
    <xf numFmtId="0" fontId="24" fillId="0" borderId="29" xfId="0" applyFont="1" applyBorder="1" applyAlignment="1" applyProtection="1">
      <alignment horizontal="center" vertical="center" wrapText="1"/>
    </xf>
    <xf numFmtId="0" fontId="32" fillId="0" borderId="0" xfId="4" applyFont="1" applyAlignment="1">
      <alignment horizontal="left" vertical="top" wrapText="1"/>
    </xf>
    <xf numFmtId="0" fontId="31" fillId="0" borderId="0" xfId="4" applyFont="1" applyAlignment="1">
      <alignment horizontal="left" vertical="top" wrapText="1"/>
    </xf>
    <xf numFmtId="0" fontId="12" fillId="2" borderId="7" xfId="1" applyFont="1" applyFill="1" applyBorder="1" applyAlignment="1" applyProtection="1">
      <alignment horizontal="left" vertical="center" wrapText="1"/>
      <protection locked="0"/>
    </xf>
    <xf numFmtId="0" fontId="30" fillId="0" borderId="0" xfId="4" applyFont="1" applyAlignment="1">
      <alignment horizontal="left" vertical="top" wrapText="1"/>
    </xf>
    <xf numFmtId="0" fontId="28" fillId="0" borderId="0" xfId="4" applyFont="1" applyAlignment="1">
      <alignment horizontal="left" vertical="top" wrapText="1"/>
    </xf>
    <xf numFmtId="0" fontId="18" fillId="0" borderId="0" xfId="0" applyFont="1" applyAlignment="1" applyProtection="1">
      <alignment horizontal="left" vertical="center" wrapText="1"/>
      <protection locked="0"/>
    </xf>
    <xf numFmtId="0" fontId="20" fillId="0" borderId="0" xfId="4" applyFont="1" applyAlignment="1" applyProtection="1">
      <alignment horizontal="left" vertical="top" wrapText="1"/>
      <protection locked="0"/>
    </xf>
    <xf numFmtId="0" fontId="20" fillId="0" borderId="0" xfId="4" applyFont="1" applyAlignment="1" applyProtection="1">
      <alignment horizontal="left" vertical="center" wrapText="1"/>
      <protection locked="0"/>
    </xf>
    <xf numFmtId="0" fontId="29" fillId="0" borderId="0" xfId="1" applyFont="1" applyAlignment="1">
      <alignment horizontal="center" vertical="center" wrapText="1"/>
    </xf>
    <xf numFmtId="0" fontId="14" fillId="0" borderId="0" xfId="1" applyFont="1" applyAlignment="1" applyProtection="1">
      <alignment horizontal="center" vertical="center" wrapText="1"/>
      <protection locked="0"/>
    </xf>
    <xf numFmtId="0" fontId="15" fillId="0" borderId="0" xfId="1" applyFont="1" applyAlignment="1" applyProtection="1">
      <alignment horizontal="center" vertical="center" wrapText="1"/>
      <protection locked="0"/>
    </xf>
    <xf numFmtId="0" fontId="23" fillId="0" borderId="20" xfId="0" applyFont="1" applyBorder="1" applyAlignment="1" applyProtection="1">
      <alignment horizontal="center" vertical="center" wrapText="1"/>
      <protection locked="0"/>
    </xf>
    <xf numFmtId="0" fontId="23" fillId="0" borderId="25" xfId="0" applyFont="1" applyBorder="1" applyAlignment="1" applyProtection="1">
      <alignment horizontal="center" vertical="center" wrapText="1"/>
      <protection locked="0"/>
    </xf>
    <xf numFmtId="0" fontId="23" fillId="0" borderId="31" xfId="0" applyFont="1" applyBorder="1" applyAlignment="1" applyProtection="1">
      <alignment horizontal="center" vertical="center" wrapText="1"/>
      <protection locked="0"/>
    </xf>
    <xf numFmtId="0" fontId="22" fillId="6" borderId="13" xfId="0" applyFont="1" applyFill="1" applyBorder="1" applyAlignment="1" applyProtection="1">
      <alignment horizontal="center" vertical="center" wrapText="1"/>
      <protection locked="0"/>
    </xf>
    <xf numFmtId="0" fontId="22" fillId="6" borderId="14" xfId="0" applyFont="1" applyFill="1" applyBorder="1" applyAlignment="1" applyProtection="1">
      <alignment horizontal="center" vertical="center" wrapText="1"/>
      <protection locked="0"/>
    </xf>
    <xf numFmtId="0" fontId="22" fillId="6" borderId="15" xfId="0" applyFont="1" applyFill="1" applyBorder="1" applyAlignment="1" applyProtection="1">
      <alignment horizontal="center" vertical="center" wrapText="1"/>
      <protection locked="0"/>
    </xf>
    <xf numFmtId="0" fontId="23" fillId="0" borderId="21" xfId="0" applyFont="1" applyBorder="1" applyAlignment="1" applyProtection="1">
      <alignment horizontal="center" vertical="center" wrapText="1"/>
      <protection locked="0"/>
    </xf>
    <xf numFmtId="0" fontId="23" fillId="0" borderId="23" xfId="0" applyFont="1" applyBorder="1" applyAlignment="1" applyProtection="1">
      <alignment horizontal="center" vertical="center" wrapText="1"/>
      <protection locked="0"/>
    </xf>
    <xf numFmtId="0" fontId="23" fillId="0" borderId="29" xfId="0" applyFont="1" applyBorder="1" applyAlignment="1" applyProtection="1">
      <alignment horizontal="center" vertical="center" wrapText="1"/>
      <protection locked="0"/>
    </xf>
    <xf numFmtId="0" fontId="24" fillId="0" borderId="26" xfId="0" applyFont="1" applyBorder="1" applyAlignment="1" applyProtection="1">
      <alignment horizontal="center" vertical="center" wrapText="1"/>
      <protection locked="0"/>
    </xf>
    <xf numFmtId="0" fontId="24" fillId="0" borderId="32" xfId="0" applyFont="1" applyBorder="1" applyAlignment="1" applyProtection="1">
      <alignment horizontal="center" vertical="center" wrapText="1"/>
      <protection locked="0"/>
    </xf>
    <xf numFmtId="49" fontId="23" fillId="0" borderId="16" xfId="0" applyNumberFormat="1" applyFont="1" applyBorder="1" applyAlignment="1" applyProtection="1">
      <alignment horizontal="center" vertical="center" wrapText="1"/>
      <protection locked="0"/>
    </xf>
    <xf numFmtId="49" fontId="23" fillId="0" borderId="21" xfId="0" applyNumberFormat="1" applyFont="1" applyBorder="1" applyAlignment="1" applyProtection="1">
      <alignment horizontal="center" vertical="center" wrapText="1"/>
      <protection locked="0"/>
    </xf>
    <xf numFmtId="49" fontId="23" fillId="0" borderId="27" xfId="0" applyNumberFormat="1" applyFont="1" applyBorder="1" applyAlignment="1" applyProtection="1">
      <alignment horizontal="center" vertical="center" wrapText="1"/>
      <protection locked="0"/>
    </xf>
    <xf numFmtId="49" fontId="23" fillId="0" borderId="17" xfId="0" applyNumberFormat="1" applyFont="1" applyBorder="1" applyAlignment="1" applyProtection="1">
      <alignment horizontal="center" vertical="center" wrapText="1"/>
      <protection locked="0"/>
    </xf>
    <xf numFmtId="49" fontId="23" fillId="0" borderId="22" xfId="0" applyNumberFormat="1" applyFont="1" applyBorder="1" applyAlignment="1" applyProtection="1">
      <alignment horizontal="center" vertical="center" wrapText="1"/>
      <protection locked="0"/>
    </xf>
    <xf numFmtId="49" fontId="23" fillId="0" borderId="28" xfId="0" applyNumberFormat="1" applyFont="1" applyBorder="1" applyAlignment="1" applyProtection="1">
      <alignment horizontal="center" vertical="center" wrapText="1"/>
      <protection locked="0"/>
    </xf>
    <xf numFmtId="0" fontId="23" fillId="0" borderId="18" xfId="0" applyFont="1" applyBorder="1" applyAlignment="1" applyProtection="1">
      <alignment horizontal="center" vertical="center" wrapText="1"/>
      <protection locked="0"/>
    </xf>
    <xf numFmtId="0" fontId="23" fillId="0" borderId="17" xfId="0" applyFont="1" applyBorder="1" applyAlignment="1" applyProtection="1">
      <alignment horizontal="center" vertical="center" wrapText="1"/>
      <protection locked="0"/>
    </xf>
    <xf numFmtId="0" fontId="23" fillId="0" borderId="22" xfId="0" applyFont="1" applyBorder="1" applyAlignment="1" applyProtection="1">
      <alignment horizontal="center" vertical="center" wrapText="1"/>
      <protection locked="0"/>
    </xf>
    <xf numFmtId="0" fontId="23" fillId="0" borderId="28" xfId="0" applyFont="1" applyBorder="1" applyAlignment="1" applyProtection="1">
      <alignment horizontal="center" vertical="center" wrapText="1"/>
      <protection locked="0"/>
    </xf>
    <xf numFmtId="0" fontId="23" fillId="0" borderId="19" xfId="0" applyFont="1" applyBorder="1" applyAlignment="1" applyProtection="1">
      <alignment horizontal="center" vertical="center" wrapText="1"/>
      <protection locked="0"/>
    </xf>
    <xf numFmtId="0" fontId="23" fillId="0" borderId="24" xfId="0" applyFont="1" applyBorder="1" applyAlignment="1" applyProtection="1">
      <alignment horizontal="center" vertical="center" wrapText="1"/>
      <protection locked="0"/>
    </xf>
    <xf numFmtId="0" fontId="23" fillId="0" borderId="30" xfId="0" applyFont="1" applyBorder="1" applyAlignment="1" applyProtection="1">
      <alignment horizontal="center" vertical="center" wrapText="1"/>
      <protection locked="0"/>
    </xf>
  </cellXfs>
  <cellStyles count="12">
    <cellStyle name="Гиперссылка" xfId="9" builtinId="8"/>
    <cellStyle name="Обычный" xfId="0" builtinId="0"/>
    <cellStyle name="Обычный 2" xfId="1" xr:uid="{00000000-0005-0000-0000-000001000000}"/>
    <cellStyle name="Обычный 2 2" xfId="4" xr:uid="{00000000-0005-0000-0000-000002000000}"/>
    <cellStyle name="Обычный 3" xfId="10" xr:uid="{EA431DAC-A54A-4D97-99F7-F7AD0A9ECE03}"/>
    <cellStyle name="Обычный 3 2" xfId="5" xr:uid="{00000000-0005-0000-0000-000003000000}"/>
    <cellStyle name="Обычный 3 3 2" xfId="7" xr:uid="{F7F4A96E-F4E3-4EFE-B312-97AC93DE8F0A}"/>
    <cellStyle name="Обычный 4" xfId="6" xr:uid="{00000000-0005-0000-0000-000004000000}"/>
    <cellStyle name="Обычный 9 2" xfId="8" xr:uid="{F4659218-C600-4ADB-B895-9921B3E3988C}"/>
    <cellStyle name="Обычный 9 2 2" xfId="11" xr:uid="{6D46565F-A1C8-48D4-A992-C1227A99641B}"/>
    <cellStyle name="Финансовый" xfId="3" builtinId="3"/>
    <cellStyle name="Финансовый 2" xfId="2" xr:uid="{00000000-0005-0000-0000-000006000000}"/>
  </cellStyles>
  <dxfs count="0"/>
  <tableStyles count="0" defaultTableStyle="TableStyleMedium2" defaultPivotStyle="PivotStyleLight16"/>
  <colors>
    <mruColors>
      <color rgb="FF95B3D7"/>
      <color rgb="FFD7E2EF"/>
      <color rgb="FFFF66FF"/>
      <color rgb="FFFF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565739</xdr:colOff>
      <xdr:row>1</xdr:row>
      <xdr:rowOff>133350</xdr:rowOff>
    </xdr:from>
    <xdr:to>
      <xdr:col>6</xdr:col>
      <xdr:colOff>382290</xdr:colOff>
      <xdr:row>15</xdr:row>
      <xdr:rowOff>181984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6582ED4-D990-4958-A303-7F2A5598C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5739" y="323850"/>
          <a:ext cx="3474151" cy="2715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printerSettings" Target="../printerSettings/printerSettings7.bin"/><Relationship Id="rId4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92DF7-C550-408E-A905-D106075BC7E6}">
  <sheetPr>
    <outlinePr summaryBelow="0"/>
  </sheetPr>
  <dimension ref="A1:Z445"/>
  <sheetViews>
    <sheetView tabSelected="1" view="pageBreakPreview" zoomScale="85" zoomScaleNormal="85" zoomScaleSheetLayoutView="85" workbookViewId="0">
      <pane ySplit="11" topLeftCell="A66" activePane="bottomLeft" state="frozen"/>
      <selection pane="bottomLeft" activeCell="A5" sqref="A5:N5"/>
    </sheetView>
  </sheetViews>
  <sheetFormatPr defaultColWidth="9.140625" defaultRowHeight="15" outlineLevelRow="1" x14ac:dyDescent="0.25"/>
  <cols>
    <col min="1" max="1" width="8" style="216" customWidth="1"/>
    <col min="2" max="2" width="21.28515625" style="217" customWidth="1"/>
    <col min="3" max="3" width="12.42578125" style="217" customWidth="1"/>
    <col min="4" max="4" width="67.28515625" style="218" customWidth="1"/>
    <col min="5" max="5" width="19.85546875" style="216" customWidth="1"/>
    <col min="6" max="7" width="9.5703125" style="217" customWidth="1"/>
    <col min="8" max="8" width="10" style="219" customWidth="1"/>
    <col min="9" max="9" width="12.85546875" style="219" customWidth="1"/>
    <col min="10" max="12" width="13.7109375" style="217" customWidth="1"/>
    <col min="13" max="13" width="19.42578125" style="217" bestFit="1" customWidth="1"/>
    <col min="14" max="14" width="19.5703125" style="217" customWidth="1"/>
    <col min="15" max="15" width="4.5703125" style="148" customWidth="1"/>
    <col min="16" max="16" width="76.7109375" style="149" customWidth="1"/>
    <col min="17" max="17" width="10" style="148" bestFit="1" customWidth="1"/>
    <col min="18" max="20" width="9.140625" style="148"/>
    <col min="21" max="21" width="3.140625" style="148" customWidth="1"/>
    <col min="22" max="22" width="5.85546875" style="148" customWidth="1"/>
    <col min="23" max="24" width="9.140625" style="148" customWidth="1"/>
    <col min="25" max="25" width="12.85546875" style="148" customWidth="1"/>
    <col min="26" max="26" width="32.5703125" style="148" customWidth="1"/>
    <col min="27" max="27" width="16.5703125" style="148" customWidth="1"/>
    <col min="28" max="16384" width="9.140625" style="148"/>
  </cols>
  <sheetData>
    <row r="1" spans="1:26" ht="15.75" x14ac:dyDescent="0.25">
      <c r="A1" s="144"/>
      <c r="B1" s="144"/>
      <c r="C1" s="144"/>
      <c r="D1" s="145"/>
      <c r="E1" s="145"/>
      <c r="F1" s="145"/>
      <c r="G1" s="145"/>
      <c r="H1" s="145"/>
      <c r="I1" s="146"/>
      <c r="J1" s="146"/>
      <c r="K1" s="146"/>
      <c r="L1" s="146"/>
      <c r="M1" s="146"/>
      <c r="N1" s="147"/>
    </row>
    <row r="2" spans="1:26" ht="15.75" x14ac:dyDescent="0.25">
      <c r="A2" s="144"/>
      <c r="B2" s="144"/>
      <c r="C2" s="144"/>
      <c r="D2" s="145"/>
      <c r="E2" s="145"/>
      <c r="F2" s="145"/>
      <c r="G2" s="145"/>
      <c r="H2" s="145"/>
      <c r="I2" s="146"/>
      <c r="J2" s="146"/>
      <c r="K2" s="146"/>
      <c r="L2" s="146"/>
      <c r="M2" s="146"/>
      <c r="N2" s="150"/>
    </row>
    <row r="3" spans="1:26" ht="15.75" x14ac:dyDescent="0.25">
      <c r="A3" s="144"/>
      <c r="B3" s="144"/>
      <c r="C3" s="144"/>
      <c r="D3" s="145"/>
      <c r="E3" s="145"/>
      <c r="F3" s="145"/>
      <c r="G3" s="145"/>
      <c r="H3" s="145"/>
      <c r="I3" s="146"/>
      <c r="J3" s="146"/>
      <c r="K3" s="146"/>
      <c r="L3" s="146"/>
      <c r="M3" s="146"/>
      <c r="N3" s="150"/>
    </row>
    <row r="4" spans="1:26" s="151" customFormat="1" ht="18.75" x14ac:dyDescent="0.25">
      <c r="A4" s="264" t="s">
        <v>84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P4" s="149"/>
    </row>
    <row r="5" spans="1:26" s="151" customFormat="1" ht="15.75" x14ac:dyDescent="0.25">
      <c r="A5" s="265" t="s">
        <v>106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P5" s="149"/>
    </row>
    <row r="6" spans="1:26" s="151" customFormat="1" ht="15.75" x14ac:dyDescent="0.25">
      <c r="A6" s="265" t="s">
        <v>185</v>
      </c>
      <c r="B6" s="265"/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P6" s="149"/>
    </row>
    <row r="7" spans="1:26" s="151" customFormat="1" ht="15.75" x14ac:dyDescent="0.25">
      <c r="A7" s="253"/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P7" s="152"/>
    </row>
    <row r="8" spans="1:26" s="151" customFormat="1" ht="15.75" thickBot="1" x14ac:dyDescent="0.25">
      <c r="A8" s="153"/>
      <c r="B8" s="154"/>
      <c r="C8" s="154"/>
      <c r="D8" s="145"/>
      <c r="E8" s="154"/>
      <c r="F8" s="155"/>
      <c r="G8" s="155"/>
      <c r="H8" s="154"/>
      <c r="I8" s="154"/>
      <c r="J8" s="102"/>
      <c r="K8" s="102"/>
      <c r="L8" s="102"/>
      <c r="M8" s="145"/>
      <c r="N8" s="156"/>
      <c r="P8" s="152"/>
    </row>
    <row r="9" spans="1:26" s="151" customFormat="1" x14ac:dyDescent="0.25">
      <c r="A9" s="266" t="s">
        <v>18</v>
      </c>
      <c r="B9" s="269" t="s">
        <v>1</v>
      </c>
      <c r="C9" s="269" t="s">
        <v>69</v>
      </c>
      <c r="D9" s="272" t="s">
        <v>17</v>
      </c>
      <c r="E9" s="272" t="s">
        <v>2</v>
      </c>
      <c r="F9" s="272" t="s">
        <v>19</v>
      </c>
      <c r="G9" s="275" t="s">
        <v>20</v>
      </c>
      <c r="H9" s="278" t="s">
        <v>10</v>
      </c>
      <c r="I9" s="281" t="s">
        <v>68</v>
      </c>
      <c r="J9" s="281"/>
      <c r="K9" s="281"/>
      <c r="L9" s="281"/>
      <c r="M9" s="281"/>
      <c r="N9" s="282"/>
      <c r="P9" s="261" t="s">
        <v>105</v>
      </c>
    </row>
    <row r="10" spans="1:26" s="151" customFormat="1" x14ac:dyDescent="0.2">
      <c r="A10" s="267"/>
      <c r="B10" s="270"/>
      <c r="C10" s="270"/>
      <c r="D10" s="273"/>
      <c r="E10" s="273"/>
      <c r="F10" s="273"/>
      <c r="G10" s="276"/>
      <c r="H10" s="279"/>
      <c r="I10" s="283" t="s">
        <v>64</v>
      </c>
      <c r="J10" s="258"/>
      <c r="K10" s="284" t="s">
        <v>65</v>
      </c>
      <c r="L10" s="257" t="s">
        <v>66</v>
      </c>
      <c r="M10" s="258"/>
      <c r="N10" s="259" t="s">
        <v>67</v>
      </c>
      <c r="O10" s="145"/>
      <c r="P10" s="262"/>
    </row>
    <row r="11" spans="1:26" s="151" customFormat="1" ht="26.25" thickBot="1" x14ac:dyDescent="0.3">
      <c r="A11" s="268"/>
      <c r="B11" s="271"/>
      <c r="C11" s="271"/>
      <c r="D11" s="274"/>
      <c r="E11" s="274"/>
      <c r="F11" s="274"/>
      <c r="G11" s="277"/>
      <c r="H11" s="280"/>
      <c r="I11" s="157" t="s">
        <v>3</v>
      </c>
      <c r="J11" s="157" t="s">
        <v>63</v>
      </c>
      <c r="K11" s="285"/>
      <c r="L11" s="254" t="s">
        <v>3</v>
      </c>
      <c r="M11" s="158" t="s">
        <v>63</v>
      </c>
      <c r="N11" s="260"/>
      <c r="P11" s="262"/>
    </row>
    <row r="12" spans="1:26" s="164" customFormat="1" ht="12.75" x14ac:dyDescent="0.25">
      <c r="A12" s="159">
        <v>1</v>
      </c>
      <c r="B12" s="160">
        <v>2</v>
      </c>
      <c r="C12" s="160">
        <v>3</v>
      </c>
      <c r="D12" s="160">
        <v>4</v>
      </c>
      <c r="E12" s="160">
        <v>5</v>
      </c>
      <c r="F12" s="160">
        <v>6</v>
      </c>
      <c r="G12" s="161">
        <v>7</v>
      </c>
      <c r="H12" s="162">
        <v>8</v>
      </c>
      <c r="I12" s="160">
        <v>9</v>
      </c>
      <c r="J12" s="160">
        <v>10</v>
      </c>
      <c r="K12" s="160">
        <v>11</v>
      </c>
      <c r="L12" s="160">
        <v>12</v>
      </c>
      <c r="M12" s="160">
        <v>13</v>
      </c>
      <c r="N12" s="163">
        <v>14</v>
      </c>
      <c r="P12" s="263"/>
    </row>
    <row r="13" spans="1:26" s="164" customFormat="1" x14ac:dyDescent="0.25">
      <c r="A13" s="165"/>
      <c r="B13" s="166"/>
      <c r="C13" s="115"/>
      <c r="D13" s="143" t="s">
        <v>153</v>
      </c>
      <c r="E13" s="107"/>
      <c r="F13" s="107"/>
      <c r="G13" s="107"/>
      <c r="H13" s="108"/>
      <c r="I13" s="109"/>
      <c r="J13" s="110"/>
      <c r="K13" s="110"/>
      <c r="L13" s="119"/>
      <c r="M13" s="119"/>
      <c r="N13" s="119"/>
      <c r="P13" s="167"/>
    </row>
    <row r="14" spans="1:26" s="164" customFormat="1" ht="12.75" x14ac:dyDescent="0.25">
      <c r="A14" s="168">
        <v>1</v>
      </c>
      <c r="B14" s="169"/>
      <c r="C14" s="169"/>
      <c r="D14" s="170" t="s">
        <v>155</v>
      </c>
      <c r="E14" s="125"/>
      <c r="F14" s="171"/>
      <c r="G14" s="172"/>
      <c r="H14" s="128"/>
      <c r="I14" s="252"/>
      <c r="J14" s="126"/>
      <c r="K14" s="173"/>
      <c r="L14" s="173"/>
      <c r="M14" s="127"/>
      <c r="N14" s="129"/>
      <c r="P14" s="174"/>
    </row>
    <row r="15" spans="1:26" s="164" customFormat="1" outlineLevel="1" x14ac:dyDescent="0.25">
      <c r="A15" s="175" t="s">
        <v>13</v>
      </c>
      <c r="B15" s="176" t="s">
        <v>129</v>
      </c>
      <c r="C15" s="176"/>
      <c r="D15" s="177" t="s">
        <v>130</v>
      </c>
      <c r="E15" s="178" t="s">
        <v>6</v>
      </c>
      <c r="F15" s="179" t="s">
        <v>59</v>
      </c>
      <c r="G15" s="180"/>
      <c r="H15" s="104">
        <f>H16</f>
        <v>11</v>
      </c>
      <c r="I15" s="223"/>
      <c r="J15" s="105"/>
      <c r="K15" s="181">
        <f>J15</f>
        <v>0</v>
      </c>
      <c r="L15" s="181"/>
      <c r="M15" s="112">
        <f>J15*H15</f>
        <v>0</v>
      </c>
      <c r="N15" s="130">
        <f>M15</f>
        <v>0</v>
      </c>
      <c r="P15" s="182" t="s">
        <v>173</v>
      </c>
      <c r="U15" s="183"/>
    </row>
    <row r="16" spans="1:26" s="164" customFormat="1" outlineLevel="1" x14ac:dyDescent="0.25">
      <c r="A16" s="184" t="s">
        <v>85</v>
      </c>
      <c r="B16" s="185"/>
      <c r="C16" s="186"/>
      <c r="D16" s="187" t="s">
        <v>107</v>
      </c>
      <c r="E16" s="188" t="s">
        <v>90</v>
      </c>
      <c r="F16" s="189" t="s">
        <v>59</v>
      </c>
      <c r="G16" s="190">
        <v>1</v>
      </c>
      <c r="H16" s="103">
        <f>4+5+2</f>
        <v>11</v>
      </c>
      <c r="I16" s="224"/>
      <c r="J16" s="106"/>
      <c r="K16" s="191">
        <f>I16</f>
        <v>0</v>
      </c>
      <c r="L16" s="191">
        <f>I16*H16</f>
        <v>0</v>
      </c>
      <c r="M16" s="114"/>
      <c r="N16" s="131">
        <f>L16</f>
        <v>0</v>
      </c>
      <c r="P16" s="111"/>
      <c r="Z16" s="192"/>
    </row>
    <row r="17" spans="1:26" s="164" customFormat="1" outlineLevel="1" x14ac:dyDescent="0.25">
      <c r="A17" s="184" t="s">
        <v>86</v>
      </c>
      <c r="B17" s="193"/>
      <c r="C17" s="194"/>
      <c r="D17" s="195" t="s">
        <v>128</v>
      </c>
      <c r="E17" s="188" t="s">
        <v>90</v>
      </c>
      <c r="F17" s="189" t="s">
        <v>59</v>
      </c>
      <c r="G17" s="190">
        <v>1</v>
      </c>
      <c r="H17" s="103">
        <f>H16</f>
        <v>11</v>
      </c>
      <c r="I17" s="224"/>
      <c r="J17" s="133"/>
      <c r="K17" s="191">
        <f>I17</f>
        <v>0</v>
      </c>
      <c r="L17" s="191">
        <f>I17*H17</f>
        <v>0</v>
      </c>
      <c r="M17" s="114"/>
      <c r="N17" s="131">
        <f>L17</f>
        <v>0</v>
      </c>
      <c r="P17" s="132"/>
      <c r="Z17" s="192"/>
    </row>
    <row r="18" spans="1:26" s="164" customFormat="1" ht="12.75" outlineLevel="1" x14ac:dyDescent="0.25">
      <c r="A18" s="175" t="s">
        <v>14</v>
      </c>
      <c r="B18" s="176" t="s">
        <v>131</v>
      </c>
      <c r="C18" s="176"/>
      <c r="D18" s="177" t="s">
        <v>88</v>
      </c>
      <c r="E18" s="178" t="s">
        <v>6</v>
      </c>
      <c r="F18" s="179" t="s">
        <v>59</v>
      </c>
      <c r="G18" s="180"/>
      <c r="H18" s="104">
        <f>H19</f>
        <v>4</v>
      </c>
      <c r="I18" s="223"/>
      <c r="J18" s="225"/>
      <c r="K18" s="181">
        <f>J18</f>
        <v>0</v>
      </c>
      <c r="L18" s="181"/>
      <c r="M18" s="112">
        <f>J18*H18</f>
        <v>0</v>
      </c>
      <c r="N18" s="130">
        <f>M18</f>
        <v>0</v>
      </c>
      <c r="P18" s="182" t="s">
        <v>173</v>
      </c>
      <c r="Z18" s="192"/>
    </row>
    <row r="19" spans="1:26" s="164" customFormat="1" outlineLevel="1" x14ac:dyDescent="0.25">
      <c r="A19" s="198" t="s">
        <v>87</v>
      </c>
      <c r="B19" s="193"/>
      <c r="C19" s="194"/>
      <c r="D19" s="199" t="s">
        <v>132</v>
      </c>
      <c r="E19" s="188" t="s">
        <v>90</v>
      </c>
      <c r="F19" s="189" t="s">
        <v>59</v>
      </c>
      <c r="G19" s="190">
        <v>1</v>
      </c>
      <c r="H19" s="103">
        <f>2*2</f>
        <v>4</v>
      </c>
      <c r="I19" s="224"/>
      <c r="J19" s="113"/>
      <c r="K19" s="191">
        <f>I19</f>
        <v>0</v>
      </c>
      <c r="L19" s="191">
        <f>I19*H19</f>
        <v>0</v>
      </c>
      <c r="M19" s="114"/>
      <c r="N19" s="131">
        <f>L19</f>
        <v>0</v>
      </c>
      <c r="P19" s="132"/>
      <c r="Z19" s="192"/>
    </row>
    <row r="20" spans="1:26" s="164" customFormat="1" ht="12.75" outlineLevel="1" x14ac:dyDescent="0.25">
      <c r="A20" s="175" t="s">
        <v>15</v>
      </c>
      <c r="B20" s="176" t="s">
        <v>134</v>
      </c>
      <c r="C20" s="176"/>
      <c r="D20" s="177" t="s">
        <v>133</v>
      </c>
      <c r="E20" s="178" t="s">
        <v>6</v>
      </c>
      <c r="F20" s="179" t="s">
        <v>59</v>
      </c>
      <c r="G20" s="180"/>
      <c r="H20" s="104">
        <f>H21</f>
        <v>4</v>
      </c>
      <c r="I20" s="223"/>
      <c r="J20" s="225"/>
      <c r="K20" s="181">
        <f>J20</f>
        <v>0</v>
      </c>
      <c r="L20" s="181"/>
      <c r="M20" s="112">
        <f>J20*H20</f>
        <v>0</v>
      </c>
      <c r="N20" s="130">
        <f>M20</f>
        <v>0</v>
      </c>
      <c r="P20" s="182" t="s">
        <v>173</v>
      </c>
      <c r="Z20" s="192"/>
    </row>
    <row r="21" spans="1:26" s="164" customFormat="1" outlineLevel="1" x14ac:dyDescent="0.25">
      <c r="A21" s="198" t="s">
        <v>92</v>
      </c>
      <c r="B21" s="193"/>
      <c r="C21" s="194"/>
      <c r="D21" s="199" t="s">
        <v>135</v>
      </c>
      <c r="E21" s="188" t="s">
        <v>90</v>
      </c>
      <c r="F21" s="200" t="s">
        <v>59</v>
      </c>
      <c r="G21" s="190">
        <v>1</v>
      </c>
      <c r="H21" s="103">
        <f>2*2</f>
        <v>4</v>
      </c>
      <c r="I21" s="224"/>
      <c r="J21" s="133"/>
      <c r="K21" s="191">
        <f>I21</f>
        <v>0</v>
      </c>
      <c r="L21" s="191">
        <f>I21*H21</f>
        <v>0</v>
      </c>
      <c r="M21" s="114"/>
      <c r="N21" s="131">
        <f>L21</f>
        <v>0</v>
      </c>
      <c r="P21" s="132"/>
      <c r="Z21" s="192"/>
    </row>
    <row r="22" spans="1:26" s="164" customFormat="1" ht="12.75" outlineLevel="1" x14ac:dyDescent="0.25">
      <c r="A22" s="175" t="s">
        <v>16</v>
      </c>
      <c r="B22" s="176" t="s">
        <v>109</v>
      </c>
      <c r="C22" s="176"/>
      <c r="D22" s="177" t="s">
        <v>108</v>
      </c>
      <c r="E22" s="178" t="s">
        <v>6</v>
      </c>
      <c r="F22" s="179" t="s">
        <v>59</v>
      </c>
      <c r="G22" s="180"/>
      <c r="H22" s="104">
        <v>1</v>
      </c>
      <c r="I22" s="223"/>
      <c r="J22" s="225"/>
      <c r="K22" s="181">
        <f>J22</f>
        <v>0</v>
      </c>
      <c r="L22" s="181"/>
      <c r="M22" s="112">
        <f>J22*H22</f>
        <v>0</v>
      </c>
      <c r="N22" s="130">
        <f>M22</f>
        <v>0</v>
      </c>
      <c r="P22" s="182" t="s">
        <v>173</v>
      </c>
      <c r="Z22" s="192"/>
    </row>
    <row r="23" spans="1:26" s="164" customFormat="1" ht="30" outlineLevel="1" x14ac:dyDescent="0.25">
      <c r="A23" s="201" t="s">
        <v>93</v>
      </c>
      <c r="B23" s="202"/>
      <c r="C23" s="202"/>
      <c r="D23" s="203" t="s">
        <v>300</v>
      </c>
      <c r="E23" s="188" t="s">
        <v>90</v>
      </c>
      <c r="F23" s="204" t="s">
        <v>91</v>
      </c>
      <c r="G23" s="205">
        <v>1</v>
      </c>
      <c r="H23" s="138">
        <v>1</v>
      </c>
      <c r="I23" s="226"/>
      <c r="J23" s="227"/>
      <c r="K23" s="191">
        <f t="shared" ref="K23" si="0">I23</f>
        <v>0</v>
      </c>
      <c r="L23" s="191">
        <f t="shared" ref="L23" si="1">I23*H23</f>
        <v>0</v>
      </c>
      <c r="M23" s="114"/>
      <c r="N23" s="131">
        <f t="shared" ref="N23" si="2">L23</f>
        <v>0</v>
      </c>
      <c r="P23" s="137"/>
      <c r="Z23" s="192"/>
    </row>
    <row r="24" spans="1:26" s="164" customFormat="1" outlineLevel="1" x14ac:dyDescent="0.25">
      <c r="A24" s="184" t="s">
        <v>94</v>
      </c>
      <c r="B24" s="185"/>
      <c r="C24" s="186"/>
      <c r="D24" s="203" t="s">
        <v>110</v>
      </c>
      <c r="E24" s="188" t="s">
        <v>90</v>
      </c>
      <c r="F24" s="189" t="s">
        <v>59</v>
      </c>
      <c r="G24" s="190">
        <v>1</v>
      </c>
      <c r="H24" s="103">
        <v>1</v>
      </c>
      <c r="I24" s="224"/>
      <c r="J24" s="113"/>
      <c r="K24" s="191"/>
      <c r="L24" s="191"/>
      <c r="M24" s="114"/>
      <c r="N24" s="131"/>
      <c r="P24" s="111"/>
      <c r="Z24" s="192"/>
    </row>
    <row r="25" spans="1:26" s="164" customFormat="1" outlineLevel="1" x14ac:dyDescent="0.25">
      <c r="A25" s="201" t="s">
        <v>95</v>
      </c>
      <c r="B25" s="193"/>
      <c r="C25" s="194"/>
      <c r="D25" s="203" t="s">
        <v>111</v>
      </c>
      <c r="E25" s="188" t="s">
        <v>90</v>
      </c>
      <c r="F25" s="189" t="s">
        <v>59</v>
      </c>
      <c r="G25" s="190">
        <v>1</v>
      </c>
      <c r="H25" s="103">
        <v>1</v>
      </c>
      <c r="I25" s="135"/>
      <c r="J25" s="196"/>
      <c r="K25" s="191"/>
      <c r="L25" s="196"/>
      <c r="M25" s="134"/>
      <c r="N25" s="136"/>
      <c r="P25" s="132"/>
      <c r="Z25" s="192"/>
    </row>
    <row r="26" spans="1:26" s="164" customFormat="1" outlineLevel="1" x14ac:dyDescent="0.25">
      <c r="A26" s="184" t="s">
        <v>96</v>
      </c>
      <c r="B26" s="193"/>
      <c r="C26" s="194"/>
      <c r="D26" s="203" t="s">
        <v>112</v>
      </c>
      <c r="E26" s="188" t="s">
        <v>90</v>
      </c>
      <c r="F26" s="189" t="s">
        <v>59</v>
      </c>
      <c r="G26" s="190">
        <v>1</v>
      </c>
      <c r="H26" s="103">
        <v>1</v>
      </c>
      <c r="I26" s="135"/>
      <c r="J26" s="196"/>
      <c r="K26" s="191"/>
      <c r="L26" s="196"/>
      <c r="M26" s="134"/>
      <c r="N26" s="136"/>
      <c r="P26" s="132"/>
      <c r="Z26" s="192"/>
    </row>
    <row r="27" spans="1:26" s="164" customFormat="1" outlineLevel="1" x14ac:dyDescent="0.25">
      <c r="A27" s="201" t="s">
        <v>97</v>
      </c>
      <c r="B27" s="193"/>
      <c r="C27" s="194"/>
      <c r="D27" s="195" t="s">
        <v>113</v>
      </c>
      <c r="E27" s="188" t="s">
        <v>90</v>
      </c>
      <c r="F27" s="189" t="s">
        <v>59</v>
      </c>
      <c r="G27" s="190">
        <v>1</v>
      </c>
      <c r="H27" s="103">
        <v>1</v>
      </c>
      <c r="I27" s="135"/>
      <c r="J27" s="196"/>
      <c r="K27" s="196"/>
      <c r="L27" s="196"/>
      <c r="M27" s="134"/>
      <c r="N27" s="136"/>
      <c r="P27" s="132"/>
      <c r="Z27" s="192"/>
    </row>
    <row r="28" spans="1:26" s="164" customFormat="1" outlineLevel="1" x14ac:dyDescent="0.25">
      <c r="A28" s="184" t="s">
        <v>98</v>
      </c>
      <c r="B28" s="193"/>
      <c r="C28" s="194"/>
      <c r="D28" s="195" t="s">
        <v>114</v>
      </c>
      <c r="E28" s="188" t="s">
        <v>90</v>
      </c>
      <c r="F28" s="189" t="s">
        <v>59</v>
      </c>
      <c r="G28" s="190">
        <v>1</v>
      </c>
      <c r="H28" s="103">
        <v>3</v>
      </c>
      <c r="I28" s="135"/>
      <c r="J28" s="196"/>
      <c r="K28" s="196"/>
      <c r="L28" s="196"/>
      <c r="M28" s="134"/>
      <c r="N28" s="136"/>
      <c r="P28" s="132"/>
      <c r="Z28" s="192"/>
    </row>
    <row r="29" spans="1:26" s="164" customFormat="1" outlineLevel="1" x14ac:dyDescent="0.25">
      <c r="A29" s="201" t="s">
        <v>99</v>
      </c>
      <c r="B29" s="193"/>
      <c r="C29" s="194"/>
      <c r="D29" s="195" t="s">
        <v>115</v>
      </c>
      <c r="E29" s="188" t="s">
        <v>90</v>
      </c>
      <c r="F29" s="189" t="s">
        <v>59</v>
      </c>
      <c r="G29" s="190">
        <v>1</v>
      </c>
      <c r="H29" s="103">
        <v>1</v>
      </c>
      <c r="I29" s="135"/>
      <c r="J29" s="196"/>
      <c r="K29" s="196"/>
      <c r="L29" s="196"/>
      <c r="M29" s="134"/>
      <c r="N29" s="136"/>
      <c r="P29" s="132"/>
      <c r="Z29" s="192"/>
    </row>
    <row r="30" spans="1:26" s="164" customFormat="1" outlineLevel="1" x14ac:dyDescent="0.25">
      <c r="A30" s="184" t="s">
        <v>100</v>
      </c>
      <c r="B30" s="193"/>
      <c r="C30" s="194"/>
      <c r="D30" s="195" t="s">
        <v>116</v>
      </c>
      <c r="E30" s="188" t="s">
        <v>90</v>
      </c>
      <c r="F30" s="189" t="s">
        <v>59</v>
      </c>
      <c r="G30" s="190">
        <v>1</v>
      </c>
      <c r="H30" s="103">
        <v>1</v>
      </c>
      <c r="I30" s="135"/>
      <c r="J30" s="196"/>
      <c r="K30" s="196"/>
      <c r="L30" s="196"/>
      <c r="M30" s="134"/>
      <c r="N30" s="136"/>
      <c r="P30" s="132"/>
      <c r="Z30" s="192"/>
    </row>
    <row r="31" spans="1:26" s="164" customFormat="1" outlineLevel="1" x14ac:dyDescent="0.25">
      <c r="A31" s="201" t="s">
        <v>136</v>
      </c>
      <c r="B31" s="193"/>
      <c r="C31" s="194"/>
      <c r="D31" s="195" t="s">
        <v>117</v>
      </c>
      <c r="E31" s="188" t="s">
        <v>90</v>
      </c>
      <c r="F31" s="189" t="s">
        <v>59</v>
      </c>
      <c r="G31" s="190">
        <v>1</v>
      </c>
      <c r="H31" s="103">
        <v>1</v>
      </c>
      <c r="I31" s="135"/>
      <c r="J31" s="196"/>
      <c r="K31" s="196"/>
      <c r="L31" s="196"/>
      <c r="M31" s="134"/>
      <c r="N31" s="136"/>
      <c r="P31" s="132"/>
      <c r="Z31" s="192"/>
    </row>
    <row r="32" spans="1:26" s="164" customFormat="1" outlineLevel="1" x14ac:dyDescent="0.25">
      <c r="A32" s="184" t="s">
        <v>137</v>
      </c>
      <c r="B32" s="193"/>
      <c r="C32" s="194"/>
      <c r="D32" s="195" t="s">
        <v>118</v>
      </c>
      <c r="E32" s="188" t="s">
        <v>90</v>
      </c>
      <c r="F32" s="189" t="s">
        <v>59</v>
      </c>
      <c r="G32" s="190">
        <v>1</v>
      </c>
      <c r="H32" s="103">
        <v>2</v>
      </c>
      <c r="I32" s="135"/>
      <c r="J32" s="196"/>
      <c r="K32" s="196"/>
      <c r="L32" s="196"/>
      <c r="M32" s="134"/>
      <c r="N32" s="136"/>
      <c r="P32" s="132"/>
      <c r="Z32" s="192"/>
    </row>
    <row r="33" spans="1:26" s="164" customFormat="1" outlineLevel="1" x14ac:dyDescent="0.25">
      <c r="A33" s="201" t="s">
        <v>138</v>
      </c>
      <c r="B33" s="193"/>
      <c r="C33" s="194"/>
      <c r="D33" s="195" t="s">
        <v>119</v>
      </c>
      <c r="E33" s="188" t="s">
        <v>90</v>
      </c>
      <c r="F33" s="189" t="s">
        <v>59</v>
      </c>
      <c r="G33" s="190">
        <v>1</v>
      </c>
      <c r="H33" s="103">
        <v>1</v>
      </c>
      <c r="I33" s="135"/>
      <c r="J33" s="196"/>
      <c r="K33" s="196"/>
      <c r="L33" s="196"/>
      <c r="M33" s="134"/>
      <c r="N33" s="136"/>
      <c r="P33" s="132"/>
      <c r="Z33" s="192"/>
    </row>
    <row r="34" spans="1:26" s="164" customFormat="1" outlineLevel="1" x14ac:dyDescent="0.25">
      <c r="A34" s="184" t="s">
        <v>139</v>
      </c>
      <c r="B34" s="193"/>
      <c r="C34" s="194"/>
      <c r="D34" s="195" t="s">
        <v>120</v>
      </c>
      <c r="E34" s="188" t="s">
        <v>90</v>
      </c>
      <c r="F34" s="189" t="s">
        <v>59</v>
      </c>
      <c r="G34" s="190">
        <v>1</v>
      </c>
      <c r="H34" s="103">
        <v>1</v>
      </c>
      <c r="I34" s="135"/>
      <c r="J34" s="196"/>
      <c r="K34" s="196"/>
      <c r="L34" s="196"/>
      <c r="M34" s="134"/>
      <c r="N34" s="136"/>
      <c r="P34" s="132"/>
      <c r="Z34" s="192"/>
    </row>
    <row r="35" spans="1:26" s="164" customFormat="1" outlineLevel="1" x14ac:dyDescent="0.25">
      <c r="A35" s="201" t="s">
        <v>140</v>
      </c>
      <c r="B35" s="193"/>
      <c r="C35" s="194"/>
      <c r="D35" s="195" t="s">
        <v>121</v>
      </c>
      <c r="E35" s="188" t="s">
        <v>90</v>
      </c>
      <c r="F35" s="189" t="s">
        <v>59</v>
      </c>
      <c r="G35" s="190">
        <v>1</v>
      </c>
      <c r="H35" s="103">
        <v>1</v>
      </c>
      <c r="I35" s="135"/>
      <c r="J35" s="196"/>
      <c r="K35" s="196"/>
      <c r="L35" s="196"/>
      <c r="M35" s="134"/>
      <c r="N35" s="136"/>
      <c r="P35" s="132"/>
      <c r="Z35" s="192"/>
    </row>
    <row r="36" spans="1:26" s="164" customFormat="1" outlineLevel="1" x14ac:dyDescent="0.25">
      <c r="A36" s="184" t="s">
        <v>141</v>
      </c>
      <c r="B36" s="193"/>
      <c r="C36" s="194"/>
      <c r="D36" s="195" t="s">
        <v>122</v>
      </c>
      <c r="E36" s="188" t="s">
        <v>90</v>
      </c>
      <c r="F36" s="189" t="s">
        <v>59</v>
      </c>
      <c r="G36" s="190">
        <v>1</v>
      </c>
      <c r="H36" s="103">
        <v>5</v>
      </c>
      <c r="I36" s="135"/>
      <c r="J36" s="196"/>
      <c r="K36" s="196"/>
      <c r="L36" s="196"/>
      <c r="M36" s="134"/>
      <c r="N36" s="136"/>
      <c r="P36" s="132"/>
      <c r="Z36" s="192"/>
    </row>
    <row r="37" spans="1:26" s="164" customFormat="1" outlineLevel="1" x14ac:dyDescent="0.25">
      <c r="A37" s="201" t="s">
        <v>142</v>
      </c>
      <c r="B37" s="193"/>
      <c r="C37" s="194"/>
      <c r="D37" s="195" t="s">
        <v>123</v>
      </c>
      <c r="E37" s="188" t="s">
        <v>90</v>
      </c>
      <c r="F37" s="189" t="s">
        <v>59</v>
      </c>
      <c r="G37" s="190">
        <v>1</v>
      </c>
      <c r="H37" s="103">
        <v>1</v>
      </c>
      <c r="I37" s="135"/>
      <c r="J37" s="196"/>
      <c r="K37" s="196"/>
      <c r="L37" s="196"/>
      <c r="M37" s="134"/>
      <c r="N37" s="136"/>
      <c r="P37" s="132"/>
      <c r="Z37" s="192"/>
    </row>
    <row r="38" spans="1:26" s="164" customFormat="1" ht="76.5" outlineLevel="1" x14ac:dyDescent="0.25">
      <c r="A38" s="175" t="s">
        <v>31</v>
      </c>
      <c r="B38" s="176" t="s">
        <v>124</v>
      </c>
      <c r="C38" s="176"/>
      <c r="D38" s="177" t="s">
        <v>149</v>
      </c>
      <c r="E38" s="178" t="s">
        <v>6</v>
      </c>
      <c r="F38" s="179" t="s">
        <v>89</v>
      </c>
      <c r="G38" s="180"/>
      <c r="H38" s="104">
        <f>51+27+15+36+27+16*4+61+38</f>
        <v>319</v>
      </c>
      <c r="I38" s="223"/>
      <c r="J38" s="105"/>
      <c r="K38" s="181">
        <f>J38</f>
        <v>0</v>
      </c>
      <c r="L38" s="181"/>
      <c r="M38" s="112">
        <f>J38*H38</f>
        <v>0</v>
      </c>
      <c r="N38" s="130">
        <f>M38</f>
        <v>0</v>
      </c>
      <c r="P38" s="182" t="s">
        <v>174</v>
      </c>
      <c r="Z38" s="192"/>
    </row>
    <row r="39" spans="1:26" s="164" customFormat="1" ht="38.25" outlineLevel="1" x14ac:dyDescent="0.25">
      <c r="A39" s="184" t="s">
        <v>101</v>
      </c>
      <c r="B39" s="185"/>
      <c r="C39" s="186"/>
      <c r="D39" s="206" t="s">
        <v>125</v>
      </c>
      <c r="E39" s="188" t="s">
        <v>90</v>
      </c>
      <c r="F39" s="189" t="s">
        <v>89</v>
      </c>
      <c r="G39" s="190">
        <v>1.03</v>
      </c>
      <c r="H39" s="103">
        <f>ROUND((51+27+15+36+27+16*4+61+38)*G39,0)</f>
        <v>329</v>
      </c>
      <c r="I39" s="224"/>
      <c r="J39" s="113"/>
      <c r="K39" s="191">
        <f>I39</f>
        <v>0</v>
      </c>
      <c r="L39" s="191">
        <f>I39*H39</f>
        <v>0</v>
      </c>
      <c r="M39" s="114"/>
      <c r="N39" s="131">
        <f>L39</f>
        <v>0</v>
      </c>
      <c r="P39" s="132"/>
      <c r="Z39" s="192"/>
    </row>
    <row r="40" spans="1:26" s="164" customFormat="1" ht="76.5" outlineLevel="1" x14ac:dyDescent="0.25">
      <c r="A40" s="175" t="s">
        <v>32</v>
      </c>
      <c r="B40" s="176" t="s">
        <v>124</v>
      </c>
      <c r="C40" s="176"/>
      <c r="D40" s="177" t="s">
        <v>217</v>
      </c>
      <c r="E40" s="178" t="s">
        <v>6</v>
      </c>
      <c r="F40" s="179" t="s">
        <v>89</v>
      </c>
      <c r="G40" s="180"/>
      <c r="H40" s="104">
        <f>11+25+16+13+14+17+33+27+158</f>
        <v>314</v>
      </c>
      <c r="I40" s="223"/>
      <c r="J40" s="105"/>
      <c r="K40" s="181">
        <f>J40</f>
        <v>0</v>
      </c>
      <c r="L40" s="181"/>
      <c r="M40" s="112">
        <f>J40*H40</f>
        <v>0</v>
      </c>
      <c r="N40" s="130">
        <f>M40</f>
        <v>0</v>
      </c>
      <c r="P40" s="182" t="s">
        <v>174</v>
      </c>
      <c r="Z40" s="192"/>
    </row>
    <row r="41" spans="1:26" s="164" customFormat="1" ht="38.25" outlineLevel="1" x14ac:dyDescent="0.25">
      <c r="A41" s="184" t="s">
        <v>104</v>
      </c>
      <c r="B41" s="185"/>
      <c r="C41" s="186"/>
      <c r="D41" s="206" t="s">
        <v>125</v>
      </c>
      <c r="E41" s="188" t="s">
        <v>90</v>
      </c>
      <c r="F41" s="189" t="s">
        <v>89</v>
      </c>
      <c r="G41" s="190">
        <v>1.03</v>
      </c>
      <c r="H41" s="103">
        <f>ROUND((11+25+16+13+14+17+33+27)*G41,0)</f>
        <v>161</v>
      </c>
      <c r="I41" s="224"/>
      <c r="J41" s="113"/>
      <c r="K41" s="191">
        <f>I41</f>
        <v>0</v>
      </c>
      <c r="L41" s="191">
        <f>I41*H41</f>
        <v>0</v>
      </c>
      <c r="M41" s="114"/>
      <c r="N41" s="131">
        <f>L41</f>
        <v>0</v>
      </c>
      <c r="P41" s="132"/>
      <c r="Z41" s="192"/>
    </row>
    <row r="42" spans="1:26" s="164" customFormat="1" ht="30" outlineLevel="1" x14ac:dyDescent="0.25">
      <c r="A42" s="184" t="s">
        <v>148</v>
      </c>
      <c r="B42" s="185"/>
      <c r="C42" s="186"/>
      <c r="D42" s="207" t="s">
        <v>126</v>
      </c>
      <c r="E42" s="188" t="s">
        <v>90</v>
      </c>
      <c r="F42" s="189" t="s">
        <v>89</v>
      </c>
      <c r="G42" s="190">
        <v>1.03</v>
      </c>
      <c r="H42" s="103">
        <f>ROUND(158*G42,0)</f>
        <v>163</v>
      </c>
      <c r="I42" s="224"/>
      <c r="J42" s="113"/>
      <c r="K42" s="191">
        <f>I42</f>
        <v>0</v>
      </c>
      <c r="L42" s="191">
        <f t="shared" ref="L42" si="3">I42*H42</f>
        <v>0</v>
      </c>
      <c r="M42" s="114"/>
      <c r="N42" s="131">
        <f t="shared" ref="N42" si="4">L42</f>
        <v>0</v>
      </c>
      <c r="P42" s="132"/>
      <c r="Z42" s="192"/>
    </row>
    <row r="43" spans="1:26" s="164" customFormat="1" outlineLevel="1" x14ac:dyDescent="0.25">
      <c r="A43" s="184" t="s">
        <v>151</v>
      </c>
      <c r="B43" s="193"/>
      <c r="C43" s="194"/>
      <c r="D43" s="195" t="s">
        <v>127</v>
      </c>
      <c r="E43" s="188" t="s">
        <v>90</v>
      </c>
      <c r="F43" s="189" t="s">
        <v>89</v>
      </c>
      <c r="G43" s="190">
        <v>1.1000000000000001</v>
      </c>
      <c r="H43" s="103">
        <f>ROUND((314)*G43,0)</f>
        <v>345</v>
      </c>
      <c r="I43" s="224"/>
      <c r="J43" s="133"/>
      <c r="K43" s="191">
        <f t="shared" ref="K43" si="5">I43</f>
        <v>0</v>
      </c>
      <c r="L43" s="191">
        <f t="shared" ref="L43" si="6">I43*H43</f>
        <v>0</v>
      </c>
      <c r="M43" s="114"/>
      <c r="N43" s="131">
        <f t="shared" ref="N43" si="7">L43</f>
        <v>0</v>
      </c>
      <c r="P43" s="132"/>
      <c r="Z43" s="192"/>
    </row>
    <row r="44" spans="1:26" s="164" customFormat="1" ht="76.5" outlineLevel="1" x14ac:dyDescent="0.25">
      <c r="A44" s="175" t="s">
        <v>33</v>
      </c>
      <c r="B44" s="176" t="s">
        <v>124</v>
      </c>
      <c r="C44" s="176"/>
      <c r="D44" s="177" t="s">
        <v>150</v>
      </c>
      <c r="E44" s="178" t="s">
        <v>6</v>
      </c>
      <c r="F44" s="179" t="s">
        <v>89</v>
      </c>
      <c r="G44" s="180"/>
      <c r="H44" s="104">
        <f>4*4+84*2</f>
        <v>184</v>
      </c>
      <c r="I44" s="223"/>
      <c r="J44" s="105"/>
      <c r="K44" s="181">
        <f>J44</f>
        <v>0</v>
      </c>
      <c r="L44" s="181"/>
      <c r="M44" s="112">
        <f>J44*H44</f>
        <v>0</v>
      </c>
      <c r="N44" s="130">
        <f>M44</f>
        <v>0</v>
      </c>
      <c r="P44" s="182" t="s">
        <v>174</v>
      </c>
      <c r="Z44" s="192"/>
    </row>
    <row r="45" spans="1:26" s="164" customFormat="1" ht="38.25" outlineLevel="1" x14ac:dyDescent="0.25">
      <c r="A45" s="184" t="s">
        <v>152</v>
      </c>
      <c r="B45" s="185"/>
      <c r="C45" s="186"/>
      <c r="D45" s="206" t="s">
        <v>125</v>
      </c>
      <c r="E45" s="188" t="s">
        <v>90</v>
      </c>
      <c r="F45" s="189" t="s">
        <v>89</v>
      </c>
      <c r="G45" s="190">
        <v>1.03</v>
      </c>
      <c r="H45" s="103">
        <f>ROUND((4*4+84*2)*G45,0)</f>
        <v>190</v>
      </c>
      <c r="I45" s="224"/>
      <c r="J45" s="113"/>
      <c r="K45" s="191">
        <f>I45</f>
        <v>0</v>
      </c>
      <c r="L45" s="191">
        <f>I45*H45</f>
        <v>0</v>
      </c>
      <c r="M45" s="114"/>
      <c r="N45" s="131">
        <f>L45</f>
        <v>0</v>
      </c>
      <c r="P45" s="132"/>
      <c r="Z45" s="192"/>
    </row>
    <row r="46" spans="1:26" s="164" customFormat="1" x14ac:dyDescent="0.25">
      <c r="A46" s="165"/>
      <c r="B46" s="166"/>
      <c r="C46" s="115"/>
      <c r="D46" s="143" t="s">
        <v>154</v>
      </c>
      <c r="E46" s="107"/>
      <c r="F46" s="107"/>
      <c r="G46" s="107"/>
      <c r="H46" s="108"/>
      <c r="I46" s="250"/>
      <c r="J46" s="251"/>
      <c r="K46" s="110"/>
      <c r="L46" s="119"/>
      <c r="M46" s="119"/>
      <c r="N46" s="119"/>
      <c r="P46" s="256"/>
    </row>
    <row r="47" spans="1:26" s="164" customFormat="1" ht="12.75" x14ac:dyDescent="0.25">
      <c r="A47" s="168">
        <v>2</v>
      </c>
      <c r="B47" s="169"/>
      <c r="C47" s="169"/>
      <c r="D47" s="170" t="s">
        <v>155</v>
      </c>
      <c r="E47" s="125"/>
      <c r="F47" s="171"/>
      <c r="G47" s="172"/>
      <c r="H47" s="128"/>
      <c r="I47" s="252"/>
      <c r="J47" s="126"/>
      <c r="K47" s="173"/>
      <c r="L47" s="173"/>
      <c r="M47" s="127"/>
      <c r="N47" s="129"/>
      <c r="P47" s="111"/>
    </row>
    <row r="48" spans="1:26" s="164" customFormat="1" outlineLevel="1" x14ac:dyDescent="0.25">
      <c r="A48" s="175" t="s">
        <v>156</v>
      </c>
      <c r="B48" s="176" t="s">
        <v>129</v>
      </c>
      <c r="C48" s="176"/>
      <c r="D48" s="177" t="s">
        <v>130</v>
      </c>
      <c r="E48" s="178" t="s">
        <v>6</v>
      </c>
      <c r="F48" s="179" t="s">
        <v>59</v>
      </c>
      <c r="G48" s="180"/>
      <c r="H48" s="104">
        <f>H49</f>
        <v>7</v>
      </c>
      <c r="I48" s="223"/>
      <c r="J48" s="105"/>
      <c r="K48" s="181">
        <f>J48</f>
        <v>0</v>
      </c>
      <c r="L48" s="181"/>
      <c r="M48" s="112">
        <f>J48*H48</f>
        <v>0</v>
      </c>
      <c r="N48" s="130">
        <f>M48</f>
        <v>0</v>
      </c>
      <c r="P48" s="182" t="s">
        <v>173</v>
      </c>
      <c r="U48" s="183"/>
    </row>
    <row r="49" spans="1:26" s="164" customFormat="1" outlineLevel="1" x14ac:dyDescent="0.25">
      <c r="A49" s="184" t="s">
        <v>157</v>
      </c>
      <c r="B49" s="185"/>
      <c r="C49" s="186"/>
      <c r="D49" s="187" t="s">
        <v>107</v>
      </c>
      <c r="E49" s="188" t="s">
        <v>90</v>
      </c>
      <c r="F49" s="189" t="s">
        <v>59</v>
      </c>
      <c r="G49" s="190">
        <v>1</v>
      </c>
      <c r="H49" s="103">
        <f>5+2</f>
        <v>7</v>
      </c>
      <c r="I49" s="224"/>
      <c r="J49" s="106"/>
      <c r="K49" s="191">
        <f>I49</f>
        <v>0</v>
      </c>
      <c r="L49" s="191">
        <f>I49*H49</f>
        <v>0</v>
      </c>
      <c r="M49" s="114"/>
      <c r="N49" s="131">
        <f>L49</f>
        <v>0</v>
      </c>
      <c r="P49" s="111"/>
      <c r="Z49" s="192"/>
    </row>
    <row r="50" spans="1:26" s="164" customFormat="1" outlineLevel="1" x14ac:dyDescent="0.25">
      <c r="A50" s="184" t="s">
        <v>158</v>
      </c>
      <c r="B50" s="193"/>
      <c r="C50" s="194"/>
      <c r="D50" s="195" t="s">
        <v>128</v>
      </c>
      <c r="E50" s="188" t="s">
        <v>90</v>
      </c>
      <c r="F50" s="189" t="s">
        <v>59</v>
      </c>
      <c r="G50" s="190">
        <v>1</v>
      </c>
      <c r="H50" s="103">
        <f>H49</f>
        <v>7</v>
      </c>
      <c r="I50" s="224"/>
      <c r="J50" s="133"/>
      <c r="K50" s="191">
        <f>I50</f>
        <v>0</v>
      </c>
      <c r="L50" s="191">
        <f>I50*H50</f>
        <v>0</v>
      </c>
      <c r="M50" s="114"/>
      <c r="N50" s="131">
        <f>L50</f>
        <v>0</v>
      </c>
      <c r="P50" s="132"/>
      <c r="Z50" s="192"/>
    </row>
    <row r="51" spans="1:26" s="164" customFormat="1" ht="12.75" outlineLevel="1" x14ac:dyDescent="0.25">
      <c r="A51" s="175" t="s">
        <v>159</v>
      </c>
      <c r="B51" s="176" t="s">
        <v>131</v>
      </c>
      <c r="C51" s="176"/>
      <c r="D51" s="177" t="s">
        <v>88</v>
      </c>
      <c r="E51" s="178" t="s">
        <v>6</v>
      </c>
      <c r="F51" s="179" t="s">
        <v>59</v>
      </c>
      <c r="G51" s="180"/>
      <c r="H51" s="104">
        <f>H52</f>
        <v>4</v>
      </c>
      <c r="I51" s="223"/>
      <c r="J51" s="225"/>
      <c r="K51" s="181">
        <f>J51</f>
        <v>0</v>
      </c>
      <c r="L51" s="181"/>
      <c r="M51" s="112">
        <f>J51*H51</f>
        <v>0</v>
      </c>
      <c r="N51" s="130">
        <f>M51</f>
        <v>0</v>
      </c>
      <c r="P51" s="182" t="s">
        <v>173</v>
      </c>
      <c r="Z51" s="192"/>
    </row>
    <row r="52" spans="1:26" s="164" customFormat="1" outlineLevel="1" x14ac:dyDescent="0.25">
      <c r="A52" s="198" t="s">
        <v>160</v>
      </c>
      <c r="B52" s="193"/>
      <c r="C52" s="194"/>
      <c r="D52" s="199" t="s">
        <v>132</v>
      </c>
      <c r="E52" s="188" t="s">
        <v>90</v>
      </c>
      <c r="F52" s="189" t="s">
        <v>59</v>
      </c>
      <c r="G52" s="190">
        <v>1</v>
      </c>
      <c r="H52" s="103">
        <f>2*2</f>
        <v>4</v>
      </c>
      <c r="I52" s="224"/>
      <c r="J52" s="113"/>
      <c r="K52" s="191">
        <f>I52</f>
        <v>0</v>
      </c>
      <c r="L52" s="191">
        <f>I52*H52</f>
        <v>0</v>
      </c>
      <c r="M52" s="114"/>
      <c r="N52" s="131">
        <f>L52</f>
        <v>0</v>
      </c>
      <c r="P52" s="132"/>
      <c r="Z52" s="192"/>
    </row>
    <row r="53" spans="1:26" s="164" customFormat="1" ht="12.75" outlineLevel="1" x14ac:dyDescent="0.25">
      <c r="A53" s="175" t="s">
        <v>161</v>
      </c>
      <c r="B53" s="176" t="s">
        <v>134</v>
      </c>
      <c r="C53" s="176"/>
      <c r="D53" s="177" t="s">
        <v>133</v>
      </c>
      <c r="E53" s="178" t="s">
        <v>6</v>
      </c>
      <c r="F53" s="179" t="s">
        <v>59</v>
      </c>
      <c r="G53" s="180"/>
      <c r="H53" s="104">
        <f>H54</f>
        <v>4</v>
      </c>
      <c r="I53" s="223"/>
      <c r="J53" s="225"/>
      <c r="K53" s="181">
        <f>J53</f>
        <v>0</v>
      </c>
      <c r="L53" s="181"/>
      <c r="M53" s="112">
        <f>J53*H53</f>
        <v>0</v>
      </c>
      <c r="N53" s="130">
        <f>M53</f>
        <v>0</v>
      </c>
      <c r="P53" s="182" t="s">
        <v>173</v>
      </c>
      <c r="Z53" s="192"/>
    </row>
    <row r="54" spans="1:26" s="164" customFormat="1" outlineLevel="1" x14ac:dyDescent="0.25">
      <c r="A54" s="198" t="s">
        <v>162</v>
      </c>
      <c r="B54" s="193"/>
      <c r="C54" s="194"/>
      <c r="D54" s="199" t="s">
        <v>135</v>
      </c>
      <c r="E54" s="188" t="s">
        <v>90</v>
      </c>
      <c r="F54" s="200" t="s">
        <v>59</v>
      </c>
      <c r="G54" s="190"/>
      <c r="H54" s="103">
        <f>2*2</f>
        <v>4</v>
      </c>
      <c r="I54" s="224"/>
      <c r="J54" s="133"/>
      <c r="K54" s="191">
        <f>I54</f>
        <v>0</v>
      </c>
      <c r="L54" s="191">
        <f>I54*H54</f>
        <v>0</v>
      </c>
      <c r="M54" s="114"/>
      <c r="N54" s="131">
        <f>L54</f>
        <v>0</v>
      </c>
      <c r="P54" s="132"/>
      <c r="Z54" s="192"/>
    </row>
    <row r="55" spans="1:26" s="164" customFormat="1" ht="76.5" outlineLevel="1" x14ac:dyDescent="0.25">
      <c r="A55" s="175" t="s">
        <v>163</v>
      </c>
      <c r="B55" s="176" t="s">
        <v>124</v>
      </c>
      <c r="C55" s="176"/>
      <c r="D55" s="177" t="s">
        <v>149</v>
      </c>
      <c r="E55" s="178" t="s">
        <v>6</v>
      </c>
      <c r="F55" s="179" t="s">
        <v>89</v>
      </c>
      <c r="G55" s="180"/>
      <c r="H55" s="104">
        <f>60+44+42+42+57+64+57</f>
        <v>366</v>
      </c>
      <c r="I55" s="223"/>
      <c r="J55" s="105"/>
      <c r="K55" s="181">
        <f>J55</f>
        <v>0</v>
      </c>
      <c r="L55" s="181"/>
      <c r="M55" s="112">
        <f>J55*H55</f>
        <v>0</v>
      </c>
      <c r="N55" s="130">
        <f>M55</f>
        <v>0</v>
      </c>
      <c r="P55" s="182" t="s">
        <v>174</v>
      </c>
      <c r="Z55" s="192"/>
    </row>
    <row r="56" spans="1:26" s="164" customFormat="1" ht="38.25" outlineLevel="1" x14ac:dyDescent="0.25">
      <c r="A56" s="184" t="s">
        <v>164</v>
      </c>
      <c r="B56" s="185"/>
      <c r="C56" s="186"/>
      <c r="D56" s="206" t="s">
        <v>125</v>
      </c>
      <c r="E56" s="188" t="s">
        <v>90</v>
      </c>
      <c r="F56" s="189" t="s">
        <v>89</v>
      </c>
      <c r="G56" s="190">
        <v>1.03</v>
      </c>
      <c r="H56" s="103">
        <f>ROUND((60+44+42+42+57+64+57)*G56,0)</f>
        <v>377</v>
      </c>
      <c r="I56" s="224"/>
      <c r="J56" s="113"/>
      <c r="K56" s="191">
        <f>I56</f>
        <v>0</v>
      </c>
      <c r="L56" s="191">
        <f>I56*H56</f>
        <v>0</v>
      </c>
      <c r="M56" s="114"/>
      <c r="N56" s="131">
        <f>L56</f>
        <v>0</v>
      </c>
      <c r="P56" s="132"/>
      <c r="Z56" s="192"/>
    </row>
    <row r="57" spans="1:26" s="164" customFormat="1" ht="76.5" outlineLevel="1" x14ac:dyDescent="0.25">
      <c r="A57" s="175" t="s">
        <v>167</v>
      </c>
      <c r="B57" s="176" t="s">
        <v>124</v>
      </c>
      <c r="C57" s="176"/>
      <c r="D57" s="177" t="s">
        <v>217</v>
      </c>
      <c r="E57" s="178" t="s">
        <v>6</v>
      </c>
      <c r="F57" s="179" t="s">
        <v>89</v>
      </c>
      <c r="G57" s="180"/>
      <c r="H57" s="104">
        <v>332</v>
      </c>
      <c r="I57" s="223"/>
      <c r="J57" s="105"/>
      <c r="K57" s="181">
        <f>J57</f>
        <v>0</v>
      </c>
      <c r="L57" s="181"/>
      <c r="M57" s="112">
        <f>J57*H57</f>
        <v>0</v>
      </c>
      <c r="N57" s="130">
        <f>M57</f>
        <v>0</v>
      </c>
      <c r="P57" s="182" t="s">
        <v>174</v>
      </c>
      <c r="Z57" s="192"/>
    </row>
    <row r="58" spans="1:26" s="164" customFormat="1" ht="38.25" outlineLevel="1" x14ac:dyDescent="0.25">
      <c r="A58" s="184" t="s">
        <v>168</v>
      </c>
      <c r="B58" s="185"/>
      <c r="C58" s="186"/>
      <c r="D58" s="206" t="s">
        <v>125</v>
      </c>
      <c r="E58" s="188" t="s">
        <v>90</v>
      </c>
      <c r="F58" s="189" t="s">
        <v>89</v>
      </c>
      <c r="G58" s="190">
        <v>1.03</v>
      </c>
      <c r="H58" s="103">
        <f>ROUND((5+9+16+17+16+18+27)*G58,0)</f>
        <v>111</v>
      </c>
      <c r="I58" s="224"/>
      <c r="J58" s="113"/>
      <c r="K58" s="191">
        <f>I58</f>
        <v>0</v>
      </c>
      <c r="L58" s="191">
        <f>I58*H58</f>
        <v>0</v>
      </c>
      <c r="M58" s="114"/>
      <c r="N58" s="131">
        <f>L58</f>
        <v>0</v>
      </c>
      <c r="P58" s="132"/>
      <c r="Z58" s="192"/>
    </row>
    <row r="59" spans="1:26" s="164" customFormat="1" ht="30" outlineLevel="1" x14ac:dyDescent="0.25">
      <c r="A59" s="184" t="s">
        <v>169</v>
      </c>
      <c r="B59" s="185"/>
      <c r="C59" s="186"/>
      <c r="D59" s="207" t="s">
        <v>126</v>
      </c>
      <c r="E59" s="188" t="s">
        <v>90</v>
      </c>
      <c r="F59" s="189" t="s">
        <v>89</v>
      </c>
      <c r="G59" s="190">
        <v>1.03</v>
      </c>
      <c r="H59" s="103">
        <f>ROUND(224*G59,0)</f>
        <v>231</v>
      </c>
      <c r="I59" s="224"/>
      <c r="J59" s="113"/>
      <c r="K59" s="191">
        <f>I59</f>
        <v>0</v>
      </c>
      <c r="L59" s="191">
        <f t="shared" ref="L59:L60" si="8">I59*H59</f>
        <v>0</v>
      </c>
      <c r="M59" s="114"/>
      <c r="N59" s="131">
        <f t="shared" ref="N59:N60" si="9">L59</f>
        <v>0</v>
      </c>
      <c r="P59" s="132"/>
      <c r="Z59" s="192"/>
    </row>
    <row r="60" spans="1:26" s="164" customFormat="1" outlineLevel="1" x14ac:dyDescent="0.25">
      <c r="A60" s="184" t="s">
        <v>170</v>
      </c>
      <c r="B60" s="193"/>
      <c r="C60" s="194"/>
      <c r="D60" s="195" t="s">
        <v>127</v>
      </c>
      <c r="E60" s="188" t="s">
        <v>90</v>
      </c>
      <c r="F60" s="189" t="s">
        <v>89</v>
      </c>
      <c r="G60" s="190">
        <v>1.1000000000000001</v>
      </c>
      <c r="H60" s="103">
        <f>ROUND((224+27+18+16+17+16+9+5)*G60,0)</f>
        <v>365</v>
      </c>
      <c r="I60" s="224"/>
      <c r="J60" s="133"/>
      <c r="K60" s="191">
        <f t="shared" ref="K60" si="10">I60</f>
        <v>0</v>
      </c>
      <c r="L60" s="191">
        <f t="shared" si="8"/>
        <v>0</v>
      </c>
      <c r="M60" s="114"/>
      <c r="N60" s="131">
        <f t="shared" si="9"/>
        <v>0</v>
      </c>
      <c r="P60" s="132"/>
      <c r="Z60" s="192"/>
    </row>
    <row r="61" spans="1:26" s="164" customFormat="1" ht="76.5" outlineLevel="1" x14ac:dyDescent="0.25">
      <c r="A61" s="175" t="s">
        <v>171</v>
      </c>
      <c r="B61" s="176" t="s">
        <v>124</v>
      </c>
      <c r="C61" s="176"/>
      <c r="D61" s="177" t="s">
        <v>150</v>
      </c>
      <c r="E61" s="178" t="s">
        <v>6</v>
      </c>
      <c r="F61" s="179" t="s">
        <v>89</v>
      </c>
      <c r="G61" s="180"/>
      <c r="H61" s="104">
        <f>4*2+119*2</f>
        <v>246</v>
      </c>
      <c r="I61" s="223"/>
      <c r="J61" s="105"/>
      <c r="K61" s="181">
        <f>J61</f>
        <v>0</v>
      </c>
      <c r="L61" s="181"/>
      <c r="M61" s="112">
        <f>J61*H61</f>
        <v>0</v>
      </c>
      <c r="N61" s="130">
        <f>M61</f>
        <v>0</v>
      </c>
      <c r="P61" s="182" t="s">
        <v>174</v>
      </c>
      <c r="Z61" s="192"/>
    </row>
    <row r="62" spans="1:26" s="164" customFormat="1" ht="38.25" outlineLevel="1" x14ac:dyDescent="0.25">
      <c r="A62" s="184" t="s">
        <v>172</v>
      </c>
      <c r="B62" s="185"/>
      <c r="C62" s="186"/>
      <c r="D62" s="206" t="s">
        <v>125</v>
      </c>
      <c r="E62" s="188" t="s">
        <v>90</v>
      </c>
      <c r="F62" s="189" t="s">
        <v>89</v>
      </c>
      <c r="G62" s="190">
        <v>1.03</v>
      </c>
      <c r="H62" s="103">
        <f>ROUND((4+4+119+119)*G62,0)</f>
        <v>253</v>
      </c>
      <c r="I62" s="224"/>
      <c r="J62" s="113"/>
      <c r="K62" s="191">
        <f>I62</f>
        <v>0</v>
      </c>
      <c r="L62" s="191">
        <f>I62*H62</f>
        <v>0</v>
      </c>
      <c r="M62" s="114"/>
      <c r="N62" s="131">
        <f>L62</f>
        <v>0</v>
      </c>
      <c r="P62" s="132"/>
      <c r="Z62" s="192"/>
    </row>
    <row r="63" spans="1:26" s="164" customFormat="1" x14ac:dyDescent="0.25">
      <c r="A63" s="165"/>
      <c r="B63" s="166"/>
      <c r="C63" s="115"/>
      <c r="D63" s="143" t="s">
        <v>175</v>
      </c>
      <c r="E63" s="107"/>
      <c r="F63" s="107"/>
      <c r="G63" s="107"/>
      <c r="H63" s="108"/>
      <c r="I63" s="250"/>
      <c r="J63" s="251"/>
      <c r="K63" s="110"/>
      <c r="L63" s="119"/>
      <c r="M63" s="119"/>
      <c r="N63" s="119"/>
      <c r="P63" s="132"/>
      <c r="Z63" s="192"/>
    </row>
    <row r="64" spans="1:26" s="164" customFormat="1" ht="12.75" x14ac:dyDescent="0.25">
      <c r="A64" s="168">
        <v>3</v>
      </c>
      <c r="B64" s="169"/>
      <c r="C64" s="169"/>
      <c r="D64" s="170" t="s">
        <v>176</v>
      </c>
      <c r="E64" s="125"/>
      <c r="F64" s="171"/>
      <c r="G64" s="172"/>
      <c r="H64" s="128"/>
      <c r="I64" s="252"/>
      <c r="J64" s="126"/>
      <c r="K64" s="173"/>
      <c r="L64" s="173"/>
      <c r="M64" s="127"/>
      <c r="N64" s="129"/>
      <c r="P64" s="132"/>
      <c r="Z64" s="192"/>
    </row>
    <row r="65" spans="1:26" s="164" customFormat="1" ht="12.75" outlineLevel="1" x14ac:dyDescent="0.25">
      <c r="A65" s="175" t="s">
        <v>177</v>
      </c>
      <c r="B65" s="176" t="s">
        <v>145</v>
      </c>
      <c r="C65" s="176"/>
      <c r="D65" s="177" t="s">
        <v>146</v>
      </c>
      <c r="E65" s="178" t="s">
        <v>6</v>
      </c>
      <c r="F65" s="179" t="s">
        <v>59</v>
      </c>
      <c r="G65" s="180">
        <v>1</v>
      </c>
      <c r="H65" s="104">
        <f>H66</f>
        <v>15</v>
      </c>
      <c r="I65" s="223"/>
      <c r="J65" s="105"/>
      <c r="K65" s="181">
        <f>J65</f>
        <v>0</v>
      </c>
      <c r="L65" s="181"/>
      <c r="M65" s="112">
        <f>J65*H65</f>
        <v>0</v>
      </c>
      <c r="N65" s="130">
        <f>M65</f>
        <v>0</v>
      </c>
      <c r="P65" s="182" t="s">
        <v>173</v>
      </c>
      <c r="Z65" s="192"/>
    </row>
    <row r="66" spans="1:26" s="164" customFormat="1" ht="30" outlineLevel="1" x14ac:dyDescent="0.25">
      <c r="A66" s="184" t="s">
        <v>178</v>
      </c>
      <c r="B66" s="185"/>
      <c r="C66" s="186"/>
      <c r="D66" s="187" t="s">
        <v>147</v>
      </c>
      <c r="E66" s="188" t="s">
        <v>90</v>
      </c>
      <c r="F66" s="189" t="s">
        <v>59</v>
      </c>
      <c r="G66" s="190">
        <v>1</v>
      </c>
      <c r="H66" s="103">
        <v>15</v>
      </c>
      <c r="I66" s="224"/>
      <c r="J66" s="106"/>
      <c r="K66" s="191">
        <f>I66</f>
        <v>0</v>
      </c>
      <c r="L66" s="191">
        <f>I66*H66</f>
        <v>0</v>
      </c>
      <c r="M66" s="114"/>
      <c r="N66" s="131">
        <f>L66</f>
        <v>0</v>
      </c>
      <c r="P66" s="132"/>
      <c r="Z66" s="192"/>
    </row>
    <row r="67" spans="1:26" s="164" customFormat="1" outlineLevel="1" x14ac:dyDescent="0.25">
      <c r="A67" s="184" t="s">
        <v>179</v>
      </c>
      <c r="B67" s="193"/>
      <c r="C67" s="194"/>
      <c r="D67" s="195" t="s">
        <v>128</v>
      </c>
      <c r="E67" s="188" t="s">
        <v>90</v>
      </c>
      <c r="F67" s="189" t="s">
        <v>59</v>
      </c>
      <c r="G67" s="190">
        <v>1</v>
      </c>
      <c r="H67" s="103">
        <f>H66</f>
        <v>15</v>
      </c>
      <c r="I67" s="224"/>
      <c r="J67" s="133"/>
      <c r="K67" s="191">
        <f>I67</f>
        <v>0</v>
      </c>
      <c r="L67" s="191">
        <f>I67*H67</f>
        <v>0</v>
      </c>
      <c r="M67" s="114"/>
      <c r="N67" s="131">
        <f>L67</f>
        <v>0</v>
      </c>
      <c r="P67" s="132"/>
      <c r="Z67" s="192"/>
    </row>
    <row r="68" spans="1:26" s="164" customFormat="1" ht="76.5" outlineLevel="1" x14ac:dyDescent="0.25">
      <c r="A68" s="175" t="s">
        <v>180</v>
      </c>
      <c r="B68" s="176"/>
      <c r="C68" s="176"/>
      <c r="D68" s="177" t="s">
        <v>149</v>
      </c>
      <c r="E68" s="178" t="s">
        <v>6</v>
      </c>
      <c r="F68" s="179" t="s">
        <v>89</v>
      </c>
      <c r="G68" s="180"/>
      <c r="H68" s="104">
        <f>29+29+38+39+60+60+85*4+59+34+34+29+29</f>
        <v>780</v>
      </c>
      <c r="I68" s="223"/>
      <c r="J68" s="105"/>
      <c r="K68" s="181">
        <f>J68</f>
        <v>0</v>
      </c>
      <c r="L68" s="181"/>
      <c r="M68" s="112">
        <f>J68*H68</f>
        <v>0</v>
      </c>
      <c r="N68" s="130">
        <f>M68</f>
        <v>0</v>
      </c>
      <c r="P68" s="182" t="s">
        <v>174</v>
      </c>
      <c r="Z68" s="192"/>
    </row>
    <row r="69" spans="1:26" s="164" customFormat="1" ht="38.25" outlineLevel="1" x14ac:dyDescent="0.25">
      <c r="A69" s="184" t="s">
        <v>181</v>
      </c>
      <c r="B69" s="185"/>
      <c r="C69" s="186"/>
      <c r="D69" s="206" t="s">
        <v>125</v>
      </c>
      <c r="E69" s="188" t="s">
        <v>90</v>
      </c>
      <c r="F69" s="189" t="s">
        <v>89</v>
      </c>
      <c r="G69" s="190">
        <v>1.03</v>
      </c>
      <c r="H69" s="103">
        <f>ROUND((29+29+38+39+60+60+85*4+59+34+34+29+29)*G69,0)</f>
        <v>803</v>
      </c>
      <c r="I69" s="224"/>
      <c r="J69" s="113"/>
      <c r="K69" s="191">
        <f>I69</f>
        <v>0</v>
      </c>
      <c r="L69" s="191">
        <f>I69*H69</f>
        <v>0</v>
      </c>
      <c r="M69" s="114"/>
      <c r="N69" s="131">
        <f>L69</f>
        <v>0</v>
      </c>
      <c r="P69" s="132"/>
      <c r="Z69" s="192"/>
    </row>
    <row r="70" spans="1:26" s="164" customFormat="1" ht="76.5" outlineLevel="1" x14ac:dyDescent="0.25">
      <c r="A70" s="175" t="s">
        <v>182</v>
      </c>
      <c r="B70" s="176"/>
      <c r="C70" s="176"/>
      <c r="D70" s="177" t="s">
        <v>217</v>
      </c>
      <c r="E70" s="178" t="s">
        <v>6</v>
      </c>
      <c r="F70" s="179" t="s">
        <v>89</v>
      </c>
      <c r="G70" s="180"/>
      <c r="H70" s="104">
        <f>23+24+19+22+26+27+15+13+14*3+27+19+23+24</f>
        <v>304</v>
      </c>
      <c r="I70" s="223"/>
      <c r="J70" s="105"/>
      <c r="K70" s="181">
        <f>J70</f>
        <v>0</v>
      </c>
      <c r="L70" s="181"/>
      <c r="M70" s="112">
        <f>J70*H70</f>
        <v>0</v>
      </c>
      <c r="N70" s="130">
        <f>M70</f>
        <v>0</v>
      </c>
      <c r="P70" s="182" t="s">
        <v>174</v>
      </c>
      <c r="Z70" s="192"/>
    </row>
    <row r="71" spans="1:26" s="164" customFormat="1" ht="38.25" outlineLevel="1" x14ac:dyDescent="0.25">
      <c r="A71" s="184" t="s">
        <v>183</v>
      </c>
      <c r="B71" s="185"/>
      <c r="C71" s="186"/>
      <c r="D71" s="206" t="s">
        <v>125</v>
      </c>
      <c r="E71" s="188" t="s">
        <v>90</v>
      </c>
      <c r="F71" s="189" t="s">
        <v>89</v>
      </c>
      <c r="G71" s="190">
        <v>1.03</v>
      </c>
      <c r="H71" s="103">
        <f>ROUND((23+24+19+22+26+27+15+13+14*3+27+19+23+24)*G71,0)</f>
        <v>313</v>
      </c>
      <c r="I71" s="224"/>
      <c r="J71" s="113"/>
      <c r="K71" s="191">
        <f>I71</f>
        <v>0</v>
      </c>
      <c r="L71" s="191">
        <f>I71*H71</f>
        <v>0</v>
      </c>
      <c r="M71" s="114"/>
      <c r="N71" s="131">
        <f>L71</f>
        <v>0</v>
      </c>
      <c r="P71" s="132"/>
      <c r="Z71" s="192"/>
    </row>
    <row r="72" spans="1:26" s="164" customFormat="1" outlineLevel="1" x14ac:dyDescent="0.25">
      <c r="A72" s="184" t="s">
        <v>184</v>
      </c>
      <c r="B72" s="193"/>
      <c r="C72" s="194"/>
      <c r="D72" s="195" t="s">
        <v>127</v>
      </c>
      <c r="E72" s="188" t="s">
        <v>90</v>
      </c>
      <c r="F72" s="189" t="s">
        <v>89</v>
      </c>
      <c r="G72" s="190">
        <v>1.1000000000000001</v>
      </c>
      <c r="H72" s="103">
        <f>ROUND((304)*G72,0)</f>
        <v>334</v>
      </c>
      <c r="I72" s="224"/>
      <c r="J72" s="133"/>
      <c r="K72" s="191">
        <f t="shared" ref="K72" si="11">I72</f>
        <v>0</v>
      </c>
      <c r="L72" s="191">
        <f t="shared" ref="L72" si="12">I72*H72</f>
        <v>0</v>
      </c>
      <c r="M72" s="114"/>
      <c r="N72" s="131">
        <f t="shared" ref="N72" si="13">L72</f>
        <v>0</v>
      </c>
      <c r="P72" s="132"/>
      <c r="Z72" s="192"/>
    </row>
    <row r="73" spans="1:26" s="164" customFormat="1" x14ac:dyDescent="0.25">
      <c r="A73" s="165"/>
      <c r="B73" s="166"/>
      <c r="C73" s="115"/>
      <c r="D73" s="143" t="s">
        <v>175</v>
      </c>
      <c r="E73" s="107"/>
      <c r="F73" s="107"/>
      <c r="G73" s="107"/>
      <c r="H73" s="108"/>
      <c r="I73" s="250"/>
      <c r="J73" s="251"/>
      <c r="K73" s="110"/>
      <c r="L73" s="119"/>
      <c r="M73" s="119"/>
      <c r="N73" s="119"/>
      <c r="P73" s="132"/>
      <c r="Z73" s="192"/>
    </row>
    <row r="74" spans="1:26" s="164" customFormat="1" ht="12.75" x14ac:dyDescent="0.25">
      <c r="A74" s="168" t="s">
        <v>61</v>
      </c>
      <c r="B74" s="169"/>
      <c r="C74" s="169"/>
      <c r="D74" s="170" t="s">
        <v>218</v>
      </c>
      <c r="E74" s="255"/>
      <c r="F74" s="171"/>
      <c r="G74" s="172"/>
      <c r="H74" s="128"/>
      <c r="I74" s="252"/>
      <c r="J74" s="126"/>
      <c r="K74" s="173"/>
      <c r="L74" s="173"/>
      <c r="M74" s="127"/>
      <c r="N74" s="129"/>
      <c r="P74" s="132"/>
      <c r="Z74" s="192"/>
    </row>
    <row r="75" spans="1:26" s="164" customFormat="1" ht="25.5" outlineLevel="1" x14ac:dyDescent="0.25">
      <c r="A75" s="175" t="s">
        <v>213</v>
      </c>
      <c r="B75" s="176" t="s">
        <v>219</v>
      </c>
      <c r="C75" s="176"/>
      <c r="D75" s="177" t="s">
        <v>303</v>
      </c>
      <c r="E75" s="178" t="s">
        <v>6</v>
      </c>
      <c r="F75" s="179" t="s">
        <v>91</v>
      </c>
      <c r="G75" s="180"/>
      <c r="H75" s="104">
        <v>1</v>
      </c>
      <c r="I75" s="223"/>
      <c r="J75" s="105"/>
      <c r="K75" s="181">
        <f>J75</f>
        <v>0</v>
      </c>
      <c r="L75" s="181"/>
      <c r="M75" s="112">
        <f>J75*H75</f>
        <v>0</v>
      </c>
      <c r="N75" s="130">
        <f>M75</f>
        <v>0</v>
      </c>
      <c r="P75" s="182" t="s">
        <v>173</v>
      </c>
      <c r="Z75" s="192"/>
    </row>
    <row r="76" spans="1:26" s="145" customFormat="1" x14ac:dyDescent="0.2">
      <c r="A76" s="165"/>
      <c r="B76" s="166"/>
      <c r="C76" s="115"/>
      <c r="D76" s="115" t="s">
        <v>27</v>
      </c>
      <c r="E76" s="107"/>
      <c r="F76" s="107"/>
      <c r="G76" s="107"/>
      <c r="H76" s="108"/>
      <c r="I76" s="109"/>
      <c r="J76" s="110"/>
      <c r="K76" s="110"/>
      <c r="L76" s="119">
        <f>SUM(L15:L75)</f>
        <v>0</v>
      </c>
      <c r="M76" s="119">
        <f t="shared" ref="M76" si="14">SUM(M15:M75)</f>
        <v>0</v>
      </c>
      <c r="N76" s="119">
        <f>SUM(N15:N75)</f>
        <v>0</v>
      </c>
      <c r="P76" s="111"/>
    </row>
    <row r="77" spans="1:26" ht="15.75" thickBot="1" x14ac:dyDescent="0.3">
      <c r="A77" s="208"/>
      <c r="B77" s="209"/>
      <c r="C77" s="116"/>
      <c r="D77" s="116" t="s">
        <v>70</v>
      </c>
      <c r="E77" s="116"/>
      <c r="F77" s="116"/>
      <c r="G77" s="139"/>
      <c r="H77" s="124"/>
      <c r="I77" s="140"/>
      <c r="J77" s="116"/>
      <c r="K77" s="116"/>
      <c r="L77" s="118"/>
      <c r="M77" s="118"/>
      <c r="N77" s="117">
        <f>N76/1.22*0.22</f>
        <v>0</v>
      </c>
      <c r="P77" s="174"/>
    </row>
    <row r="78" spans="1:26" s="213" customFormat="1" x14ac:dyDescent="0.25">
      <c r="A78" s="210" t="s">
        <v>71</v>
      </c>
      <c r="B78" s="211"/>
      <c r="C78" s="211"/>
      <c r="D78" s="211"/>
      <c r="E78" s="211"/>
      <c r="F78" s="211"/>
      <c r="G78" s="211"/>
      <c r="H78" s="211"/>
      <c r="I78" s="211"/>
      <c r="J78" s="211"/>
      <c r="K78" s="211"/>
      <c r="L78" s="211"/>
      <c r="M78" s="211"/>
      <c r="N78" s="212"/>
      <c r="P78" s="174"/>
    </row>
    <row r="79" spans="1:26" s="213" customFormat="1" x14ac:dyDescent="0.25">
      <c r="A79" s="228" t="s">
        <v>12</v>
      </c>
      <c r="B79" s="229"/>
      <c r="C79" s="229"/>
      <c r="D79" s="230" t="s">
        <v>72</v>
      </c>
      <c r="E79" s="229"/>
      <c r="F79" s="229"/>
      <c r="G79" s="229"/>
      <c r="H79" s="229"/>
      <c r="I79" s="229"/>
      <c r="J79" s="229"/>
      <c r="K79" s="229"/>
      <c r="L79" s="229"/>
      <c r="M79" s="229"/>
      <c r="N79" s="231"/>
      <c r="P79" s="174"/>
    </row>
    <row r="80" spans="1:26" s="214" customFormat="1" x14ac:dyDescent="0.25">
      <c r="A80" s="228" t="s">
        <v>7</v>
      </c>
      <c r="B80" s="229"/>
      <c r="C80" s="229"/>
      <c r="D80" s="230" t="s">
        <v>73</v>
      </c>
      <c r="E80" s="229"/>
      <c r="F80" s="229"/>
      <c r="G80" s="229"/>
      <c r="H80" s="229"/>
      <c r="I80" s="229"/>
      <c r="J80" s="229"/>
      <c r="K80" s="229"/>
      <c r="L80" s="229"/>
      <c r="M80" s="229"/>
      <c r="N80" s="231"/>
      <c r="P80" s="174"/>
    </row>
    <row r="81" spans="1:16" s="214" customFormat="1" x14ac:dyDescent="0.25">
      <c r="A81" s="228" t="s">
        <v>60</v>
      </c>
      <c r="B81" s="229"/>
      <c r="C81" s="229"/>
      <c r="D81" s="230" t="s">
        <v>74</v>
      </c>
      <c r="E81" s="229"/>
      <c r="F81" s="229"/>
      <c r="G81" s="229"/>
      <c r="H81" s="229"/>
      <c r="I81" s="229"/>
      <c r="J81" s="229"/>
      <c r="K81" s="229"/>
      <c r="L81" s="229"/>
      <c r="M81" s="229"/>
      <c r="N81" s="231"/>
      <c r="P81" s="174"/>
    </row>
    <row r="82" spans="1:16" s="214" customFormat="1" ht="25.5" x14ac:dyDescent="0.25">
      <c r="A82" s="228" t="s">
        <v>61</v>
      </c>
      <c r="B82" s="229"/>
      <c r="C82" s="229"/>
      <c r="D82" s="230" t="s">
        <v>75</v>
      </c>
      <c r="E82" s="229"/>
      <c r="F82" s="229"/>
      <c r="G82" s="229"/>
      <c r="H82" s="229"/>
      <c r="I82" s="229"/>
      <c r="J82" s="229"/>
      <c r="K82" s="229"/>
      <c r="L82" s="229"/>
      <c r="M82" s="229"/>
      <c r="N82" s="231"/>
      <c r="P82" s="174"/>
    </row>
    <row r="83" spans="1:16" s="213" customFormat="1" x14ac:dyDescent="0.25">
      <c r="A83" s="232" t="s">
        <v>62</v>
      </c>
      <c r="B83" s="233"/>
      <c r="C83" s="233"/>
      <c r="D83" s="230" t="s">
        <v>76</v>
      </c>
      <c r="E83" s="234"/>
      <c r="F83" s="234"/>
      <c r="G83" s="234"/>
      <c r="H83" s="234"/>
      <c r="I83" s="235"/>
      <c r="J83" s="235"/>
      <c r="K83" s="235"/>
      <c r="L83" s="235"/>
      <c r="M83" s="235"/>
      <c r="N83" s="236"/>
      <c r="P83" s="174"/>
    </row>
    <row r="84" spans="1:16" s="213" customFormat="1" ht="15.75" x14ac:dyDescent="0.25">
      <c r="A84" s="228" t="s">
        <v>83</v>
      </c>
      <c r="B84" s="120"/>
      <c r="C84" s="120"/>
      <c r="D84" s="230" t="s">
        <v>77</v>
      </c>
      <c r="E84" s="121"/>
      <c r="F84" s="121"/>
      <c r="G84" s="120"/>
      <c r="H84" s="122"/>
      <c r="I84" s="121"/>
      <c r="J84" s="121"/>
      <c r="K84" s="120"/>
      <c r="L84" s="120"/>
      <c r="M84" s="121"/>
      <c r="N84" s="123"/>
      <c r="P84" s="174"/>
    </row>
    <row r="85" spans="1:16" x14ac:dyDescent="0.25">
      <c r="A85" s="237">
        <v>7</v>
      </c>
      <c r="B85" s="238"/>
      <c r="C85" s="238"/>
      <c r="D85" s="230" t="s">
        <v>78</v>
      </c>
      <c r="E85" s="239"/>
      <c r="F85" s="238"/>
      <c r="G85" s="238"/>
      <c r="H85" s="240"/>
      <c r="I85" s="240"/>
      <c r="J85" s="238"/>
      <c r="K85" s="238"/>
      <c r="L85" s="238"/>
      <c r="M85" s="238"/>
      <c r="N85" s="241"/>
      <c r="P85" s="174"/>
    </row>
    <row r="86" spans="1:16" x14ac:dyDescent="0.25">
      <c r="A86" s="237">
        <v>8</v>
      </c>
      <c r="B86" s="238"/>
      <c r="C86" s="238"/>
      <c r="D86" s="230" t="s">
        <v>79</v>
      </c>
      <c r="E86" s="239"/>
      <c r="F86" s="238"/>
      <c r="G86" s="238"/>
      <c r="H86" s="240"/>
      <c r="I86" s="240"/>
      <c r="J86" s="238"/>
      <c r="K86" s="238"/>
      <c r="L86" s="238"/>
      <c r="M86" s="238"/>
      <c r="N86" s="241"/>
      <c r="P86" s="174"/>
    </row>
    <row r="87" spans="1:16" x14ac:dyDescent="0.25">
      <c r="A87" s="237">
        <v>9</v>
      </c>
      <c r="B87" s="238"/>
      <c r="C87" s="238"/>
      <c r="D87" s="230" t="s">
        <v>80</v>
      </c>
      <c r="E87" s="239"/>
      <c r="F87" s="238"/>
      <c r="G87" s="238"/>
      <c r="H87" s="240"/>
      <c r="I87" s="240"/>
      <c r="J87" s="238"/>
      <c r="K87" s="238"/>
      <c r="L87" s="238"/>
      <c r="M87" s="238"/>
      <c r="N87" s="241"/>
      <c r="P87" s="215"/>
    </row>
    <row r="88" spans="1:16" x14ac:dyDescent="0.25">
      <c r="A88" s="237">
        <v>10</v>
      </c>
      <c r="B88" s="238"/>
      <c r="C88" s="238"/>
      <c r="D88" s="242" t="s">
        <v>81</v>
      </c>
      <c r="E88" s="239"/>
      <c r="F88" s="238"/>
      <c r="G88" s="238"/>
      <c r="H88" s="240"/>
      <c r="I88" s="240"/>
      <c r="J88" s="238"/>
      <c r="K88" s="238"/>
      <c r="L88" s="238"/>
      <c r="M88" s="238"/>
      <c r="N88" s="241"/>
      <c r="P88" s="174"/>
    </row>
    <row r="89" spans="1:16" ht="15.75" thickBot="1" x14ac:dyDescent="0.3">
      <c r="A89" s="243">
        <v>11</v>
      </c>
      <c r="B89" s="244"/>
      <c r="C89" s="244"/>
      <c r="D89" s="245" t="s">
        <v>82</v>
      </c>
      <c r="E89" s="246"/>
      <c r="F89" s="244"/>
      <c r="G89" s="244"/>
      <c r="H89" s="247"/>
      <c r="I89" s="247"/>
      <c r="J89" s="244"/>
      <c r="K89" s="244"/>
      <c r="L89" s="244"/>
      <c r="M89" s="244"/>
      <c r="N89" s="248"/>
      <c r="P89" s="174"/>
    </row>
    <row r="90" spans="1:16" x14ac:dyDescent="0.25">
      <c r="P90" s="220"/>
    </row>
    <row r="91" spans="1:16" x14ac:dyDescent="0.25">
      <c r="P91" s="220"/>
    </row>
    <row r="92" spans="1:16" x14ac:dyDescent="0.25">
      <c r="P92" s="220"/>
    </row>
    <row r="93" spans="1:16" x14ac:dyDescent="0.25">
      <c r="P93" s="220"/>
    </row>
    <row r="94" spans="1:16" x14ac:dyDescent="0.25">
      <c r="P94" s="221"/>
    </row>
    <row r="95" spans="1:16" x14ac:dyDescent="0.25">
      <c r="P95" s="220"/>
    </row>
    <row r="96" spans="1:16" x14ac:dyDescent="0.25">
      <c r="P96" s="220"/>
    </row>
    <row r="97" spans="16:16" x14ac:dyDescent="0.25">
      <c r="P97" s="220"/>
    </row>
    <row r="98" spans="16:16" x14ac:dyDescent="0.25">
      <c r="P98" s="220"/>
    </row>
    <row r="99" spans="16:16" x14ac:dyDescent="0.25">
      <c r="P99" s="220"/>
    </row>
    <row r="100" spans="16:16" x14ac:dyDescent="0.25">
      <c r="P100" s="220"/>
    </row>
    <row r="101" spans="16:16" x14ac:dyDescent="0.25">
      <c r="P101" s="220"/>
    </row>
    <row r="102" spans="16:16" x14ac:dyDescent="0.25">
      <c r="P102" s="220"/>
    </row>
    <row r="103" spans="16:16" x14ac:dyDescent="0.25">
      <c r="P103" s="220"/>
    </row>
    <row r="104" spans="16:16" x14ac:dyDescent="0.25">
      <c r="P104" s="220"/>
    </row>
    <row r="105" spans="16:16" x14ac:dyDescent="0.25">
      <c r="P105" s="220"/>
    </row>
    <row r="106" spans="16:16" x14ac:dyDescent="0.25">
      <c r="P106" s="220"/>
    </row>
    <row r="107" spans="16:16" x14ac:dyDescent="0.25">
      <c r="P107" s="220"/>
    </row>
    <row r="108" spans="16:16" x14ac:dyDescent="0.25">
      <c r="P108" s="220"/>
    </row>
    <row r="109" spans="16:16" x14ac:dyDescent="0.25">
      <c r="P109" s="220"/>
    </row>
    <row r="110" spans="16:16" x14ac:dyDescent="0.25">
      <c r="P110" s="220"/>
    </row>
    <row r="111" spans="16:16" x14ac:dyDescent="0.25">
      <c r="P111" s="221"/>
    </row>
    <row r="112" spans="16:16" x14ac:dyDescent="0.25">
      <c r="P112" s="220"/>
    </row>
    <row r="113" spans="16:16" x14ac:dyDescent="0.25">
      <c r="P113" s="220"/>
    </row>
    <row r="114" spans="16:16" x14ac:dyDescent="0.25">
      <c r="P114" s="220"/>
    </row>
    <row r="115" spans="16:16" x14ac:dyDescent="0.25">
      <c r="P115" s="220"/>
    </row>
    <row r="116" spans="16:16" x14ac:dyDescent="0.25">
      <c r="P116" s="220"/>
    </row>
    <row r="117" spans="16:16" x14ac:dyDescent="0.25">
      <c r="P117" s="221"/>
    </row>
    <row r="118" spans="16:16" x14ac:dyDescent="0.25">
      <c r="P118" s="220"/>
    </row>
    <row r="119" spans="16:16" x14ac:dyDescent="0.25">
      <c r="P119" s="220"/>
    </row>
    <row r="120" spans="16:16" x14ac:dyDescent="0.25">
      <c r="P120" s="220"/>
    </row>
    <row r="121" spans="16:16" x14ac:dyDescent="0.25">
      <c r="P121" s="221"/>
    </row>
    <row r="122" spans="16:16" x14ac:dyDescent="0.25">
      <c r="P122" s="220"/>
    </row>
    <row r="123" spans="16:16" x14ac:dyDescent="0.25">
      <c r="P123" s="220"/>
    </row>
    <row r="124" spans="16:16" x14ac:dyDescent="0.25">
      <c r="P124" s="220"/>
    </row>
    <row r="125" spans="16:16" x14ac:dyDescent="0.25">
      <c r="P125" s="220"/>
    </row>
    <row r="126" spans="16:16" x14ac:dyDescent="0.25">
      <c r="P126" s="220"/>
    </row>
    <row r="127" spans="16:16" x14ac:dyDescent="0.25">
      <c r="P127" s="221"/>
    </row>
    <row r="128" spans="16:16" x14ac:dyDescent="0.25">
      <c r="P128" s="220"/>
    </row>
    <row r="129" spans="16:16" x14ac:dyDescent="0.25">
      <c r="P129" s="220"/>
    </row>
    <row r="130" spans="16:16" x14ac:dyDescent="0.25">
      <c r="P130" s="220"/>
    </row>
    <row r="131" spans="16:16" x14ac:dyDescent="0.25">
      <c r="P131" s="220"/>
    </row>
    <row r="132" spans="16:16" x14ac:dyDescent="0.25">
      <c r="P132" s="220"/>
    </row>
    <row r="133" spans="16:16" x14ac:dyDescent="0.25">
      <c r="P133" s="220"/>
    </row>
    <row r="134" spans="16:16" x14ac:dyDescent="0.25">
      <c r="P134" s="220"/>
    </row>
    <row r="135" spans="16:16" x14ac:dyDescent="0.25">
      <c r="P135" s="220"/>
    </row>
    <row r="136" spans="16:16" x14ac:dyDescent="0.25">
      <c r="P136" s="220"/>
    </row>
    <row r="137" spans="16:16" x14ac:dyDescent="0.25">
      <c r="P137" s="220"/>
    </row>
    <row r="138" spans="16:16" x14ac:dyDescent="0.25">
      <c r="P138" s="220"/>
    </row>
    <row r="139" spans="16:16" x14ac:dyDescent="0.25">
      <c r="P139" s="220"/>
    </row>
    <row r="140" spans="16:16" x14ac:dyDescent="0.25">
      <c r="P140" s="220"/>
    </row>
    <row r="141" spans="16:16" x14ac:dyDescent="0.25">
      <c r="P141" s="220"/>
    </row>
    <row r="142" spans="16:16" x14ac:dyDescent="0.25">
      <c r="P142" s="220"/>
    </row>
    <row r="143" spans="16:16" x14ac:dyDescent="0.25">
      <c r="P143" s="220"/>
    </row>
    <row r="144" spans="16:16" x14ac:dyDescent="0.25">
      <c r="P144" s="220"/>
    </row>
    <row r="145" spans="16:16" x14ac:dyDescent="0.25">
      <c r="P145" s="220"/>
    </row>
    <row r="146" spans="16:16" x14ac:dyDescent="0.25">
      <c r="P146" s="220"/>
    </row>
    <row r="147" spans="16:16" x14ac:dyDescent="0.25">
      <c r="P147" s="220"/>
    </row>
    <row r="148" spans="16:16" x14ac:dyDescent="0.25">
      <c r="P148" s="220"/>
    </row>
    <row r="149" spans="16:16" x14ac:dyDescent="0.25">
      <c r="P149" s="220"/>
    </row>
    <row r="150" spans="16:16" x14ac:dyDescent="0.25">
      <c r="P150" s="220"/>
    </row>
    <row r="151" spans="16:16" x14ac:dyDescent="0.25">
      <c r="P151" s="220"/>
    </row>
    <row r="152" spans="16:16" x14ac:dyDescent="0.25">
      <c r="P152" s="220"/>
    </row>
    <row r="153" spans="16:16" x14ac:dyDescent="0.25">
      <c r="P153" s="220"/>
    </row>
    <row r="154" spans="16:16" x14ac:dyDescent="0.25">
      <c r="P154" s="220"/>
    </row>
    <row r="155" spans="16:16" x14ac:dyDescent="0.25">
      <c r="P155" s="220"/>
    </row>
    <row r="156" spans="16:16" x14ac:dyDescent="0.25">
      <c r="P156" s="220"/>
    </row>
    <row r="157" spans="16:16" x14ac:dyDescent="0.25">
      <c r="P157" s="220"/>
    </row>
    <row r="158" spans="16:16" x14ac:dyDescent="0.25">
      <c r="P158" s="220"/>
    </row>
    <row r="159" spans="16:16" x14ac:dyDescent="0.25">
      <c r="P159" s="220"/>
    </row>
    <row r="160" spans="16:16" x14ac:dyDescent="0.25">
      <c r="P160" s="220"/>
    </row>
    <row r="161" spans="16:16" x14ac:dyDescent="0.25">
      <c r="P161" s="220"/>
    </row>
    <row r="162" spans="16:16" x14ac:dyDescent="0.25">
      <c r="P162" s="220"/>
    </row>
    <row r="163" spans="16:16" x14ac:dyDescent="0.25">
      <c r="P163" s="220"/>
    </row>
    <row r="164" spans="16:16" x14ac:dyDescent="0.25">
      <c r="P164" s="220"/>
    </row>
    <row r="165" spans="16:16" x14ac:dyDescent="0.25">
      <c r="P165" s="220"/>
    </row>
    <row r="166" spans="16:16" x14ac:dyDescent="0.25">
      <c r="P166" s="220"/>
    </row>
    <row r="167" spans="16:16" x14ac:dyDescent="0.25">
      <c r="P167" s="220"/>
    </row>
    <row r="168" spans="16:16" x14ac:dyDescent="0.25">
      <c r="P168" s="220"/>
    </row>
    <row r="169" spans="16:16" x14ac:dyDescent="0.25">
      <c r="P169" s="220"/>
    </row>
    <row r="170" spans="16:16" x14ac:dyDescent="0.25">
      <c r="P170" s="220"/>
    </row>
    <row r="171" spans="16:16" x14ac:dyDescent="0.25">
      <c r="P171" s="220"/>
    </row>
    <row r="172" spans="16:16" x14ac:dyDescent="0.25">
      <c r="P172" s="220"/>
    </row>
    <row r="173" spans="16:16" x14ac:dyDescent="0.25">
      <c r="P173" s="220"/>
    </row>
    <row r="174" spans="16:16" x14ac:dyDescent="0.25">
      <c r="P174" s="220"/>
    </row>
    <row r="175" spans="16:16" x14ac:dyDescent="0.25">
      <c r="P175" s="220"/>
    </row>
    <row r="176" spans="16:16" x14ac:dyDescent="0.25">
      <c r="P176" s="220"/>
    </row>
    <row r="177" spans="16:16" x14ac:dyDescent="0.25">
      <c r="P177" s="220"/>
    </row>
    <row r="178" spans="16:16" x14ac:dyDescent="0.25">
      <c r="P178" s="220"/>
    </row>
    <row r="179" spans="16:16" x14ac:dyDescent="0.25">
      <c r="P179" s="220"/>
    </row>
    <row r="180" spans="16:16" x14ac:dyDescent="0.25">
      <c r="P180" s="220"/>
    </row>
    <row r="181" spans="16:16" x14ac:dyDescent="0.25">
      <c r="P181" s="220"/>
    </row>
    <row r="182" spans="16:16" x14ac:dyDescent="0.25">
      <c r="P182" s="220"/>
    </row>
    <row r="183" spans="16:16" x14ac:dyDescent="0.25">
      <c r="P183" s="220"/>
    </row>
    <row r="184" spans="16:16" x14ac:dyDescent="0.25">
      <c r="P184" s="220"/>
    </row>
    <row r="185" spans="16:16" x14ac:dyDescent="0.25">
      <c r="P185" s="220"/>
    </row>
    <row r="186" spans="16:16" x14ac:dyDescent="0.25">
      <c r="P186" s="220"/>
    </row>
    <row r="187" spans="16:16" x14ac:dyDescent="0.25">
      <c r="P187" s="220"/>
    </row>
    <row r="188" spans="16:16" x14ac:dyDescent="0.25">
      <c r="P188" s="220"/>
    </row>
    <row r="189" spans="16:16" x14ac:dyDescent="0.25">
      <c r="P189" s="220"/>
    </row>
    <row r="190" spans="16:16" x14ac:dyDescent="0.25">
      <c r="P190" s="220"/>
    </row>
    <row r="191" spans="16:16" x14ac:dyDescent="0.25">
      <c r="P191" s="220"/>
    </row>
    <row r="192" spans="16:16" x14ac:dyDescent="0.25">
      <c r="P192" s="220"/>
    </row>
    <row r="193" spans="16:16" x14ac:dyDescent="0.25">
      <c r="P193" s="220"/>
    </row>
    <row r="194" spans="16:16" x14ac:dyDescent="0.25">
      <c r="P194" s="220"/>
    </row>
    <row r="195" spans="16:16" x14ac:dyDescent="0.25">
      <c r="P195" s="220"/>
    </row>
    <row r="196" spans="16:16" x14ac:dyDescent="0.25">
      <c r="P196" s="220"/>
    </row>
    <row r="197" spans="16:16" x14ac:dyDescent="0.25">
      <c r="P197" s="220"/>
    </row>
    <row r="198" spans="16:16" x14ac:dyDescent="0.25">
      <c r="P198" s="220"/>
    </row>
    <row r="199" spans="16:16" x14ac:dyDescent="0.25">
      <c r="P199" s="220"/>
    </row>
    <row r="200" spans="16:16" x14ac:dyDescent="0.25">
      <c r="P200" s="220"/>
    </row>
    <row r="201" spans="16:16" x14ac:dyDescent="0.25">
      <c r="P201" s="220"/>
    </row>
    <row r="202" spans="16:16" x14ac:dyDescent="0.25">
      <c r="P202" s="220"/>
    </row>
    <row r="203" spans="16:16" x14ac:dyDescent="0.25">
      <c r="P203" s="220"/>
    </row>
    <row r="204" spans="16:16" x14ac:dyDescent="0.25">
      <c r="P204" s="220"/>
    </row>
    <row r="205" spans="16:16" x14ac:dyDescent="0.25">
      <c r="P205" s="220"/>
    </row>
    <row r="206" spans="16:16" x14ac:dyDescent="0.25">
      <c r="P206" s="220"/>
    </row>
    <row r="207" spans="16:16" x14ac:dyDescent="0.25">
      <c r="P207" s="220"/>
    </row>
    <row r="208" spans="16:16" x14ac:dyDescent="0.25">
      <c r="P208" s="220"/>
    </row>
    <row r="209" spans="16:16" x14ac:dyDescent="0.25">
      <c r="P209" s="220"/>
    </row>
    <row r="210" spans="16:16" x14ac:dyDescent="0.25">
      <c r="P210" s="220"/>
    </row>
    <row r="211" spans="16:16" x14ac:dyDescent="0.25">
      <c r="P211" s="220"/>
    </row>
    <row r="212" spans="16:16" x14ac:dyDescent="0.25">
      <c r="P212" s="220"/>
    </row>
    <row r="213" spans="16:16" x14ac:dyDescent="0.25">
      <c r="P213" s="220"/>
    </row>
    <row r="214" spans="16:16" x14ac:dyDescent="0.25">
      <c r="P214" s="220"/>
    </row>
    <row r="215" spans="16:16" x14ac:dyDescent="0.25">
      <c r="P215" s="220"/>
    </row>
    <row r="216" spans="16:16" x14ac:dyDescent="0.25">
      <c r="P216" s="220"/>
    </row>
    <row r="217" spans="16:16" x14ac:dyDescent="0.25">
      <c r="P217" s="220"/>
    </row>
    <row r="218" spans="16:16" x14ac:dyDescent="0.25">
      <c r="P218" s="220"/>
    </row>
    <row r="219" spans="16:16" x14ac:dyDescent="0.25">
      <c r="P219" s="220"/>
    </row>
    <row r="220" spans="16:16" x14ac:dyDescent="0.25">
      <c r="P220" s="220"/>
    </row>
    <row r="221" spans="16:16" x14ac:dyDescent="0.25">
      <c r="P221" s="220"/>
    </row>
    <row r="222" spans="16:16" x14ac:dyDescent="0.25">
      <c r="P222" s="220"/>
    </row>
    <row r="223" spans="16:16" x14ac:dyDescent="0.25">
      <c r="P223" s="220"/>
    </row>
    <row r="224" spans="16:16" x14ac:dyDescent="0.25">
      <c r="P224" s="220"/>
    </row>
    <row r="225" spans="16:16" x14ac:dyDescent="0.25">
      <c r="P225" s="220"/>
    </row>
    <row r="226" spans="16:16" x14ac:dyDescent="0.25">
      <c r="P226" s="220"/>
    </row>
    <row r="227" spans="16:16" x14ac:dyDescent="0.25">
      <c r="P227" s="220"/>
    </row>
    <row r="228" spans="16:16" x14ac:dyDescent="0.25">
      <c r="P228" s="220"/>
    </row>
    <row r="229" spans="16:16" x14ac:dyDescent="0.25">
      <c r="P229" s="220"/>
    </row>
    <row r="230" spans="16:16" x14ac:dyDescent="0.25">
      <c r="P230" s="220"/>
    </row>
    <row r="231" spans="16:16" x14ac:dyDescent="0.25">
      <c r="P231" s="220"/>
    </row>
    <row r="232" spans="16:16" x14ac:dyDescent="0.25">
      <c r="P232" s="220"/>
    </row>
    <row r="233" spans="16:16" x14ac:dyDescent="0.25">
      <c r="P233" s="220"/>
    </row>
    <row r="234" spans="16:16" x14ac:dyDescent="0.25">
      <c r="P234" s="220"/>
    </row>
    <row r="235" spans="16:16" x14ac:dyDescent="0.25">
      <c r="P235" s="220"/>
    </row>
    <row r="236" spans="16:16" x14ac:dyDescent="0.25">
      <c r="P236" s="220"/>
    </row>
    <row r="237" spans="16:16" x14ac:dyDescent="0.25">
      <c r="P237" s="220"/>
    </row>
    <row r="238" spans="16:16" x14ac:dyDescent="0.25">
      <c r="P238" s="220"/>
    </row>
    <row r="239" spans="16:16" x14ac:dyDescent="0.25">
      <c r="P239" s="220"/>
    </row>
    <row r="240" spans="16:16" x14ac:dyDescent="0.25">
      <c r="P240" s="220"/>
    </row>
    <row r="241" spans="16:16" x14ac:dyDescent="0.25">
      <c r="P241" s="220"/>
    </row>
    <row r="242" spans="16:16" x14ac:dyDescent="0.25">
      <c r="P242" s="220"/>
    </row>
    <row r="243" spans="16:16" x14ac:dyDescent="0.25">
      <c r="P243" s="220"/>
    </row>
    <row r="244" spans="16:16" x14ac:dyDescent="0.25">
      <c r="P244" s="220"/>
    </row>
    <row r="245" spans="16:16" x14ac:dyDescent="0.25">
      <c r="P245" s="220"/>
    </row>
    <row r="246" spans="16:16" x14ac:dyDescent="0.25">
      <c r="P246" s="220"/>
    </row>
    <row r="247" spans="16:16" x14ac:dyDescent="0.25">
      <c r="P247" s="220"/>
    </row>
    <row r="248" spans="16:16" x14ac:dyDescent="0.25">
      <c r="P248" s="220"/>
    </row>
    <row r="249" spans="16:16" x14ac:dyDescent="0.25">
      <c r="P249" s="220"/>
    </row>
    <row r="250" spans="16:16" x14ac:dyDescent="0.25">
      <c r="P250" s="220"/>
    </row>
    <row r="251" spans="16:16" x14ac:dyDescent="0.25">
      <c r="P251" s="220"/>
    </row>
    <row r="252" spans="16:16" x14ac:dyDescent="0.25">
      <c r="P252" s="220"/>
    </row>
    <row r="253" spans="16:16" x14ac:dyDescent="0.25">
      <c r="P253" s="220"/>
    </row>
    <row r="254" spans="16:16" x14ac:dyDescent="0.25">
      <c r="P254" s="220"/>
    </row>
    <row r="255" spans="16:16" x14ac:dyDescent="0.25">
      <c r="P255" s="220"/>
    </row>
    <row r="256" spans="16:16" x14ac:dyDescent="0.25">
      <c r="P256" s="220"/>
    </row>
    <row r="257" spans="16:16" x14ac:dyDescent="0.25">
      <c r="P257" s="220"/>
    </row>
    <row r="258" spans="16:16" x14ac:dyDescent="0.25">
      <c r="P258" s="220"/>
    </row>
    <row r="259" spans="16:16" x14ac:dyDescent="0.25">
      <c r="P259" s="220"/>
    </row>
    <row r="260" spans="16:16" x14ac:dyDescent="0.25">
      <c r="P260" s="220"/>
    </row>
    <row r="261" spans="16:16" x14ac:dyDescent="0.25">
      <c r="P261" s="220"/>
    </row>
    <row r="262" spans="16:16" x14ac:dyDescent="0.25">
      <c r="P262" s="220"/>
    </row>
    <row r="263" spans="16:16" x14ac:dyDescent="0.25">
      <c r="P263" s="220"/>
    </row>
    <row r="264" spans="16:16" x14ac:dyDescent="0.25">
      <c r="P264" s="220"/>
    </row>
    <row r="265" spans="16:16" x14ac:dyDescent="0.25">
      <c r="P265" s="220"/>
    </row>
    <row r="266" spans="16:16" x14ac:dyDescent="0.25">
      <c r="P266" s="220"/>
    </row>
    <row r="267" spans="16:16" x14ac:dyDescent="0.25">
      <c r="P267" s="220"/>
    </row>
    <row r="268" spans="16:16" x14ac:dyDescent="0.25">
      <c r="P268" s="220"/>
    </row>
    <row r="269" spans="16:16" x14ac:dyDescent="0.25">
      <c r="P269" s="220"/>
    </row>
    <row r="270" spans="16:16" x14ac:dyDescent="0.25">
      <c r="P270" s="220"/>
    </row>
    <row r="271" spans="16:16" x14ac:dyDescent="0.25">
      <c r="P271" s="220"/>
    </row>
    <row r="272" spans="16:16" x14ac:dyDescent="0.25">
      <c r="P272" s="220"/>
    </row>
    <row r="273" spans="16:16" x14ac:dyDescent="0.25">
      <c r="P273" s="220"/>
    </row>
    <row r="274" spans="16:16" x14ac:dyDescent="0.25">
      <c r="P274" s="220"/>
    </row>
    <row r="275" spans="16:16" x14ac:dyDescent="0.25">
      <c r="P275" s="220"/>
    </row>
    <row r="276" spans="16:16" x14ac:dyDescent="0.25">
      <c r="P276" s="220"/>
    </row>
    <row r="277" spans="16:16" x14ac:dyDescent="0.25">
      <c r="P277" s="220"/>
    </row>
    <row r="278" spans="16:16" x14ac:dyDescent="0.25">
      <c r="P278" s="220"/>
    </row>
    <row r="279" spans="16:16" x14ac:dyDescent="0.25">
      <c r="P279" s="220"/>
    </row>
    <row r="280" spans="16:16" x14ac:dyDescent="0.25">
      <c r="P280" s="220"/>
    </row>
    <row r="281" spans="16:16" x14ac:dyDescent="0.25">
      <c r="P281" s="220"/>
    </row>
    <row r="282" spans="16:16" x14ac:dyDescent="0.25">
      <c r="P282" s="220"/>
    </row>
    <row r="283" spans="16:16" x14ac:dyDescent="0.25">
      <c r="P283" s="220"/>
    </row>
    <row r="284" spans="16:16" x14ac:dyDescent="0.25">
      <c r="P284" s="220"/>
    </row>
    <row r="285" spans="16:16" x14ac:dyDescent="0.25">
      <c r="P285" s="220"/>
    </row>
    <row r="286" spans="16:16" x14ac:dyDescent="0.25">
      <c r="P286" s="220"/>
    </row>
    <row r="287" spans="16:16" x14ac:dyDescent="0.25">
      <c r="P287" s="220"/>
    </row>
    <row r="288" spans="16:16" x14ac:dyDescent="0.25">
      <c r="P288" s="220"/>
    </row>
    <row r="289" spans="16:16" x14ac:dyDescent="0.25">
      <c r="P289" s="220"/>
    </row>
    <row r="290" spans="16:16" x14ac:dyDescent="0.25">
      <c r="P290" s="220"/>
    </row>
    <row r="291" spans="16:16" x14ac:dyDescent="0.25">
      <c r="P291" s="220"/>
    </row>
    <row r="292" spans="16:16" x14ac:dyDescent="0.25">
      <c r="P292" s="220"/>
    </row>
    <row r="293" spans="16:16" x14ac:dyDescent="0.25">
      <c r="P293" s="220"/>
    </row>
    <row r="294" spans="16:16" x14ac:dyDescent="0.25">
      <c r="P294" s="220"/>
    </row>
    <row r="295" spans="16:16" x14ac:dyDescent="0.25">
      <c r="P295" s="220"/>
    </row>
    <row r="296" spans="16:16" x14ac:dyDescent="0.25">
      <c r="P296" s="220"/>
    </row>
    <row r="297" spans="16:16" x14ac:dyDescent="0.25">
      <c r="P297" s="220"/>
    </row>
    <row r="298" spans="16:16" x14ac:dyDescent="0.25">
      <c r="P298" s="220"/>
    </row>
    <row r="299" spans="16:16" x14ac:dyDescent="0.25">
      <c r="P299" s="220"/>
    </row>
    <row r="300" spans="16:16" x14ac:dyDescent="0.25">
      <c r="P300" s="220"/>
    </row>
    <row r="301" spans="16:16" x14ac:dyDescent="0.25">
      <c r="P301" s="220"/>
    </row>
    <row r="302" spans="16:16" x14ac:dyDescent="0.25">
      <c r="P302" s="220"/>
    </row>
    <row r="303" spans="16:16" x14ac:dyDescent="0.25">
      <c r="P303" s="220"/>
    </row>
    <row r="304" spans="16:16" x14ac:dyDescent="0.25">
      <c r="P304" s="220"/>
    </row>
    <row r="305" spans="16:16" x14ac:dyDescent="0.25">
      <c r="P305" s="220"/>
    </row>
    <row r="306" spans="16:16" x14ac:dyDescent="0.25">
      <c r="P306" s="220"/>
    </row>
    <row r="307" spans="16:16" x14ac:dyDescent="0.25">
      <c r="P307" s="220"/>
    </row>
    <row r="308" spans="16:16" x14ac:dyDescent="0.25">
      <c r="P308" s="220"/>
    </row>
    <row r="309" spans="16:16" x14ac:dyDescent="0.25">
      <c r="P309" s="220"/>
    </row>
    <row r="310" spans="16:16" x14ac:dyDescent="0.25">
      <c r="P310" s="220"/>
    </row>
    <row r="311" spans="16:16" x14ac:dyDescent="0.25">
      <c r="P311" s="220"/>
    </row>
    <row r="312" spans="16:16" x14ac:dyDescent="0.25">
      <c r="P312" s="220"/>
    </row>
    <row r="313" spans="16:16" x14ac:dyDescent="0.25">
      <c r="P313" s="222"/>
    </row>
    <row r="314" spans="16:16" x14ac:dyDescent="0.25">
      <c r="P314" s="222"/>
    </row>
    <row r="315" spans="16:16" x14ac:dyDescent="0.25">
      <c r="P315" s="222"/>
    </row>
    <row r="316" spans="16:16" x14ac:dyDescent="0.25">
      <c r="P316" s="222"/>
    </row>
    <row r="317" spans="16:16" x14ac:dyDescent="0.25">
      <c r="P317" s="222"/>
    </row>
    <row r="318" spans="16:16" x14ac:dyDescent="0.25">
      <c r="P318" s="222"/>
    </row>
    <row r="319" spans="16:16" x14ac:dyDescent="0.25">
      <c r="P319" s="222"/>
    </row>
    <row r="320" spans="16:16" x14ac:dyDescent="0.25">
      <c r="P320" s="222"/>
    </row>
    <row r="321" spans="16:16" x14ac:dyDescent="0.25">
      <c r="P321" s="222"/>
    </row>
    <row r="322" spans="16:16" x14ac:dyDescent="0.25">
      <c r="P322" s="222"/>
    </row>
    <row r="323" spans="16:16" x14ac:dyDescent="0.25">
      <c r="P323" s="222"/>
    </row>
    <row r="324" spans="16:16" x14ac:dyDescent="0.25">
      <c r="P324" s="222"/>
    </row>
    <row r="325" spans="16:16" x14ac:dyDescent="0.25">
      <c r="P325" s="222"/>
    </row>
    <row r="326" spans="16:16" x14ac:dyDescent="0.25">
      <c r="P326" s="222"/>
    </row>
    <row r="327" spans="16:16" x14ac:dyDescent="0.25">
      <c r="P327" s="222"/>
    </row>
    <row r="328" spans="16:16" x14ac:dyDescent="0.25">
      <c r="P328" s="222"/>
    </row>
    <row r="329" spans="16:16" x14ac:dyDescent="0.25">
      <c r="P329" s="222"/>
    </row>
    <row r="330" spans="16:16" x14ac:dyDescent="0.25">
      <c r="P330" s="222"/>
    </row>
    <row r="331" spans="16:16" x14ac:dyDescent="0.25">
      <c r="P331" s="222"/>
    </row>
    <row r="332" spans="16:16" x14ac:dyDescent="0.25">
      <c r="P332" s="222"/>
    </row>
    <row r="333" spans="16:16" x14ac:dyDescent="0.25">
      <c r="P333" s="222"/>
    </row>
    <row r="334" spans="16:16" x14ac:dyDescent="0.25">
      <c r="P334" s="222"/>
    </row>
    <row r="335" spans="16:16" x14ac:dyDescent="0.25">
      <c r="P335" s="222"/>
    </row>
    <row r="336" spans="16:16" x14ac:dyDescent="0.25">
      <c r="P336" s="222"/>
    </row>
    <row r="337" spans="16:16" x14ac:dyDescent="0.25">
      <c r="P337" s="222"/>
    </row>
    <row r="338" spans="16:16" x14ac:dyDescent="0.25">
      <c r="P338" s="222"/>
    </row>
    <row r="339" spans="16:16" x14ac:dyDescent="0.25">
      <c r="P339" s="222"/>
    </row>
    <row r="340" spans="16:16" x14ac:dyDescent="0.25">
      <c r="P340" s="222"/>
    </row>
    <row r="341" spans="16:16" x14ac:dyDescent="0.25">
      <c r="P341" s="222"/>
    </row>
    <row r="342" spans="16:16" x14ac:dyDescent="0.25">
      <c r="P342" s="222"/>
    </row>
    <row r="343" spans="16:16" x14ac:dyDescent="0.25">
      <c r="P343" s="222"/>
    </row>
    <row r="344" spans="16:16" x14ac:dyDescent="0.25">
      <c r="P344" s="222"/>
    </row>
    <row r="345" spans="16:16" x14ac:dyDescent="0.25">
      <c r="P345" s="222"/>
    </row>
    <row r="346" spans="16:16" x14ac:dyDescent="0.25">
      <c r="P346" s="222"/>
    </row>
    <row r="347" spans="16:16" x14ac:dyDescent="0.25">
      <c r="P347" s="222"/>
    </row>
    <row r="348" spans="16:16" x14ac:dyDescent="0.25">
      <c r="P348" s="222"/>
    </row>
    <row r="349" spans="16:16" x14ac:dyDescent="0.25">
      <c r="P349" s="222"/>
    </row>
    <row r="350" spans="16:16" x14ac:dyDescent="0.25">
      <c r="P350" s="222"/>
    </row>
    <row r="351" spans="16:16" x14ac:dyDescent="0.25">
      <c r="P351" s="222"/>
    </row>
    <row r="352" spans="16:16" x14ac:dyDescent="0.25">
      <c r="P352" s="222"/>
    </row>
    <row r="353" spans="16:16" x14ac:dyDescent="0.25">
      <c r="P353" s="222"/>
    </row>
    <row r="354" spans="16:16" x14ac:dyDescent="0.25">
      <c r="P354" s="222"/>
    </row>
    <row r="355" spans="16:16" x14ac:dyDescent="0.25">
      <c r="P355" s="222"/>
    </row>
    <row r="356" spans="16:16" x14ac:dyDescent="0.25">
      <c r="P356" s="222"/>
    </row>
    <row r="357" spans="16:16" x14ac:dyDescent="0.25">
      <c r="P357" s="222"/>
    </row>
    <row r="358" spans="16:16" x14ac:dyDescent="0.25">
      <c r="P358" s="222"/>
    </row>
    <row r="359" spans="16:16" x14ac:dyDescent="0.25">
      <c r="P359" s="222"/>
    </row>
    <row r="360" spans="16:16" x14ac:dyDescent="0.25">
      <c r="P360" s="222"/>
    </row>
    <row r="361" spans="16:16" x14ac:dyDescent="0.25">
      <c r="P361" s="222"/>
    </row>
    <row r="362" spans="16:16" x14ac:dyDescent="0.25">
      <c r="P362" s="222"/>
    </row>
    <row r="363" spans="16:16" x14ac:dyDescent="0.25">
      <c r="P363" s="222"/>
    </row>
    <row r="364" spans="16:16" x14ac:dyDescent="0.25">
      <c r="P364" s="222"/>
    </row>
    <row r="365" spans="16:16" x14ac:dyDescent="0.25">
      <c r="P365" s="222"/>
    </row>
    <row r="366" spans="16:16" x14ac:dyDescent="0.25">
      <c r="P366" s="222"/>
    </row>
    <row r="367" spans="16:16" x14ac:dyDescent="0.25">
      <c r="P367" s="222"/>
    </row>
    <row r="368" spans="16:16" x14ac:dyDescent="0.25">
      <c r="P368" s="222"/>
    </row>
    <row r="369" spans="16:16" x14ac:dyDescent="0.25">
      <c r="P369" s="222"/>
    </row>
    <row r="370" spans="16:16" x14ac:dyDescent="0.25">
      <c r="P370" s="222"/>
    </row>
    <row r="371" spans="16:16" x14ac:dyDescent="0.25">
      <c r="P371" s="222"/>
    </row>
    <row r="372" spans="16:16" x14ac:dyDescent="0.25">
      <c r="P372" s="222"/>
    </row>
    <row r="373" spans="16:16" x14ac:dyDescent="0.25">
      <c r="P373" s="222"/>
    </row>
    <row r="374" spans="16:16" x14ac:dyDescent="0.25">
      <c r="P374" s="222"/>
    </row>
    <row r="375" spans="16:16" x14ac:dyDescent="0.25">
      <c r="P375" s="222"/>
    </row>
    <row r="376" spans="16:16" x14ac:dyDescent="0.25">
      <c r="P376" s="222"/>
    </row>
    <row r="377" spans="16:16" x14ac:dyDescent="0.25">
      <c r="P377" s="222"/>
    </row>
    <row r="378" spans="16:16" x14ac:dyDescent="0.25">
      <c r="P378" s="222"/>
    </row>
    <row r="379" spans="16:16" x14ac:dyDescent="0.25">
      <c r="P379" s="222"/>
    </row>
    <row r="380" spans="16:16" x14ac:dyDescent="0.25">
      <c r="P380" s="222"/>
    </row>
    <row r="381" spans="16:16" x14ac:dyDescent="0.25">
      <c r="P381" s="222"/>
    </row>
    <row r="382" spans="16:16" x14ac:dyDescent="0.25">
      <c r="P382" s="222"/>
    </row>
    <row r="383" spans="16:16" x14ac:dyDescent="0.25">
      <c r="P383" s="222"/>
    </row>
    <row r="384" spans="16:16" x14ac:dyDescent="0.25">
      <c r="P384" s="222"/>
    </row>
    <row r="385" spans="16:16" x14ac:dyDescent="0.25">
      <c r="P385" s="222"/>
    </row>
    <row r="386" spans="16:16" x14ac:dyDescent="0.25">
      <c r="P386" s="222"/>
    </row>
    <row r="387" spans="16:16" x14ac:dyDescent="0.25">
      <c r="P387" s="222"/>
    </row>
    <row r="388" spans="16:16" x14ac:dyDescent="0.25">
      <c r="P388" s="222"/>
    </row>
    <row r="389" spans="16:16" x14ac:dyDescent="0.25">
      <c r="P389" s="222"/>
    </row>
    <row r="390" spans="16:16" x14ac:dyDescent="0.25">
      <c r="P390" s="222"/>
    </row>
    <row r="391" spans="16:16" x14ac:dyDescent="0.25">
      <c r="P391" s="222"/>
    </row>
    <row r="392" spans="16:16" x14ac:dyDescent="0.25">
      <c r="P392" s="222"/>
    </row>
    <row r="393" spans="16:16" x14ac:dyDescent="0.25">
      <c r="P393" s="222"/>
    </row>
    <row r="394" spans="16:16" x14ac:dyDescent="0.25">
      <c r="P394" s="222"/>
    </row>
    <row r="395" spans="16:16" x14ac:dyDescent="0.25">
      <c r="P395" s="222"/>
    </row>
    <row r="396" spans="16:16" x14ac:dyDescent="0.25">
      <c r="P396" s="222"/>
    </row>
    <row r="397" spans="16:16" x14ac:dyDescent="0.25">
      <c r="P397" s="222"/>
    </row>
    <row r="398" spans="16:16" x14ac:dyDescent="0.25">
      <c r="P398" s="222"/>
    </row>
    <row r="399" spans="16:16" x14ac:dyDescent="0.25">
      <c r="P399" s="222"/>
    </row>
    <row r="400" spans="16:16" x14ac:dyDescent="0.25">
      <c r="P400" s="222"/>
    </row>
    <row r="401" spans="16:16" x14ac:dyDescent="0.25">
      <c r="P401" s="222"/>
    </row>
    <row r="402" spans="16:16" x14ac:dyDescent="0.25">
      <c r="P402" s="222"/>
    </row>
    <row r="403" spans="16:16" x14ac:dyDescent="0.25">
      <c r="P403" s="222"/>
    </row>
    <row r="404" spans="16:16" x14ac:dyDescent="0.25">
      <c r="P404" s="222"/>
    </row>
    <row r="405" spans="16:16" x14ac:dyDescent="0.25">
      <c r="P405" s="222"/>
    </row>
    <row r="406" spans="16:16" x14ac:dyDescent="0.25">
      <c r="P406" s="222"/>
    </row>
    <row r="407" spans="16:16" x14ac:dyDescent="0.25">
      <c r="P407" s="222"/>
    </row>
    <row r="408" spans="16:16" x14ac:dyDescent="0.25">
      <c r="P408" s="222"/>
    </row>
    <row r="409" spans="16:16" x14ac:dyDescent="0.25">
      <c r="P409" s="222"/>
    </row>
    <row r="410" spans="16:16" x14ac:dyDescent="0.25">
      <c r="P410" s="222"/>
    </row>
    <row r="411" spans="16:16" x14ac:dyDescent="0.25">
      <c r="P411" s="222"/>
    </row>
    <row r="412" spans="16:16" x14ac:dyDescent="0.25">
      <c r="P412" s="222"/>
    </row>
    <row r="413" spans="16:16" x14ac:dyDescent="0.25">
      <c r="P413" s="222"/>
    </row>
    <row r="414" spans="16:16" x14ac:dyDescent="0.25">
      <c r="P414" s="222"/>
    </row>
    <row r="415" spans="16:16" x14ac:dyDescent="0.25">
      <c r="P415" s="222"/>
    </row>
    <row r="416" spans="16:16" x14ac:dyDescent="0.25">
      <c r="P416" s="222"/>
    </row>
    <row r="417" spans="16:16" x14ac:dyDescent="0.25">
      <c r="P417" s="222"/>
    </row>
    <row r="418" spans="16:16" x14ac:dyDescent="0.25">
      <c r="P418" s="222"/>
    </row>
    <row r="419" spans="16:16" x14ac:dyDescent="0.25">
      <c r="P419" s="222"/>
    </row>
    <row r="420" spans="16:16" x14ac:dyDescent="0.25">
      <c r="P420" s="222"/>
    </row>
    <row r="421" spans="16:16" x14ac:dyDescent="0.25">
      <c r="P421" s="222"/>
    </row>
    <row r="422" spans="16:16" x14ac:dyDescent="0.25">
      <c r="P422" s="222"/>
    </row>
    <row r="423" spans="16:16" x14ac:dyDescent="0.25">
      <c r="P423" s="222"/>
    </row>
    <row r="424" spans="16:16" x14ac:dyDescent="0.25">
      <c r="P424" s="222"/>
    </row>
    <row r="425" spans="16:16" x14ac:dyDescent="0.25">
      <c r="P425" s="222"/>
    </row>
    <row r="426" spans="16:16" x14ac:dyDescent="0.25">
      <c r="P426" s="222"/>
    </row>
    <row r="427" spans="16:16" x14ac:dyDescent="0.25">
      <c r="P427" s="222"/>
    </row>
    <row r="428" spans="16:16" x14ac:dyDescent="0.25">
      <c r="P428" s="222"/>
    </row>
    <row r="429" spans="16:16" x14ac:dyDescent="0.25">
      <c r="P429" s="222"/>
    </row>
    <row r="430" spans="16:16" x14ac:dyDescent="0.25">
      <c r="P430" s="222"/>
    </row>
    <row r="431" spans="16:16" x14ac:dyDescent="0.25">
      <c r="P431" s="222"/>
    </row>
    <row r="432" spans="16:16" x14ac:dyDescent="0.25">
      <c r="P432" s="222"/>
    </row>
    <row r="433" spans="16:16" x14ac:dyDescent="0.25">
      <c r="P433" s="222"/>
    </row>
    <row r="434" spans="16:16" x14ac:dyDescent="0.25">
      <c r="P434" s="222"/>
    </row>
    <row r="435" spans="16:16" x14ac:dyDescent="0.25">
      <c r="P435" s="222"/>
    </row>
    <row r="436" spans="16:16" x14ac:dyDescent="0.25">
      <c r="P436" s="222"/>
    </row>
    <row r="437" spans="16:16" x14ac:dyDescent="0.25">
      <c r="P437" s="222"/>
    </row>
    <row r="438" spans="16:16" x14ac:dyDescent="0.25">
      <c r="P438" s="222"/>
    </row>
    <row r="439" spans="16:16" x14ac:dyDescent="0.25">
      <c r="P439" s="222"/>
    </row>
    <row r="440" spans="16:16" x14ac:dyDescent="0.25">
      <c r="P440" s="222"/>
    </row>
    <row r="441" spans="16:16" x14ac:dyDescent="0.25">
      <c r="P441" s="222"/>
    </row>
    <row r="442" spans="16:16" x14ac:dyDescent="0.25">
      <c r="P442" s="222"/>
    </row>
    <row r="443" spans="16:16" x14ac:dyDescent="0.25">
      <c r="P443" s="222"/>
    </row>
    <row r="444" spans="16:16" x14ac:dyDescent="0.25">
      <c r="P444" s="222"/>
    </row>
    <row r="445" spans="16:16" x14ac:dyDescent="0.25">
      <c r="P445" s="222"/>
    </row>
  </sheetData>
  <sheetProtection autoFilter="0"/>
  <autoFilter ref="I10:N89" xr:uid="{43A92DF7-C550-408E-A905-D106075BC7E6}">
    <filterColumn colId="0" showButton="0"/>
    <filterColumn colId="3" showButton="0"/>
  </autoFilter>
  <mergeCells count="17">
    <mergeCell ref="K10:K11"/>
    <mergeCell ref="L10:M10"/>
    <mergeCell ref="N10:N11"/>
    <mergeCell ref="P9:P12"/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  <mergeCell ref="I10:J10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4C42B-ED18-4896-A6BB-F92C6FC616EA}">
  <sheetPr>
    <outlinePr summaryBelow="0"/>
  </sheetPr>
  <dimension ref="A1:Z538"/>
  <sheetViews>
    <sheetView view="pageBreakPreview" topLeftCell="C1" zoomScale="85" zoomScaleNormal="85" zoomScaleSheetLayoutView="85" workbookViewId="0">
      <pane ySplit="11" topLeftCell="A58" activePane="bottomLeft" state="frozen"/>
      <selection pane="bottomLeft" activeCell="M58" sqref="M58"/>
    </sheetView>
  </sheetViews>
  <sheetFormatPr defaultColWidth="9.140625" defaultRowHeight="15" outlineLevelRow="1" x14ac:dyDescent="0.25"/>
  <cols>
    <col min="1" max="1" width="8" style="216" customWidth="1"/>
    <col min="2" max="2" width="21.28515625" style="217" customWidth="1"/>
    <col min="3" max="3" width="12.42578125" style="217" customWidth="1"/>
    <col min="4" max="4" width="67.28515625" style="218" customWidth="1"/>
    <col min="5" max="5" width="19.85546875" style="216" customWidth="1"/>
    <col min="6" max="7" width="9.5703125" style="217" customWidth="1"/>
    <col min="8" max="8" width="10" style="219" customWidth="1"/>
    <col min="9" max="9" width="12.85546875" style="219" customWidth="1"/>
    <col min="10" max="12" width="13.7109375" style="217" customWidth="1"/>
    <col min="13" max="13" width="19.42578125" style="217" bestFit="1" customWidth="1"/>
    <col min="14" max="14" width="19.5703125" style="217" customWidth="1"/>
    <col min="15" max="15" width="4.5703125" style="148" customWidth="1"/>
    <col min="16" max="16" width="76.7109375" style="149" customWidth="1"/>
    <col min="17" max="17" width="10" style="148" bestFit="1" customWidth="1"/>
    <col min="18" max="20" width="9.140625" style="148"/>
    <col min="21" max="21" width="3.140625" style="148" customWidth="1"/>
    <col min="22" max="22" width="5.85546875" style="148" customWidth="1"/>
    <col min="23" max="24" width="9.140625" style="148" customWidth="1"/>
    <col min="25" max="25" width="12.85546875" style="148" customWidth="1"/>
    <col min="26" max="26" width="32.5703125" style="148" customWidth="1"/>
    <col min="27" max="27" width="16.5703125" style="148" customWidth="1"/>
    <col min="28" max="16384" width="9.140625" style="148"/>
  </cols>
  <sheetData>
    <row r="1" spans="1:26" ht="15.75" x14ac:dyDescent="0.25">
      <c r="A1" s="144"/>
      <c r="B1" s="144"/>
      <c r="C1" s="144"/>
      <c r="D1" s="145"/>
      <c r="E1" s="145"/>
      <c r="F1" s="145"/>
      <c r="G1" s="145"/>
      <c r="H1" s="145"/>
      <c r="I1" s="146"/>
      <c r="J1" s="146"/>
      <c r="K1" s="146"/>
      <c r="L1" s="146"/>
      <c r="M1" s="146"/>
      <c r="N1" s="147"/>
    </row>
    <row r="2" spans="1:26" ht="15.75" x14ac:dyDescent="0.25">
      <c r="A2" s="144"/>
      <c r="B2" s="144"/>
      <c r="C2" s="144"/>
      <c r="D2" s="145"/>
      <c r="E2" s="145"/>
      <c r="F2" s="145"/>
      <c r="G2" s="145"/>
      <c r="H2" s="145"/>
      <c r="I2" s="146"/>
      <c r="J2" s="146"/>
      <c r="K2" s="146"/>
      <c r="L2" s="146"/>
      <c r="M2" s="146"/>
      <c r="N2" s="150"/>
    </row>
    <row r="3" spans="1:26" ht="15.75" x14ac:dyDescent="0.25">
      <c r="A3" s="144"/>
      <c r="B3" s="144"/>
      <c r="C3" s="144"/>
      <c r="D3" s="145"/>
      <c r="E3" s="145"/>
      <c r="F3" s="145"/>
      <c r="G3" s="145"/>
      <c r="H3" s="145"/>
      <c r="I3" s="146"/>
      <c r="J3" s="146"/>
      <c r="K3" s="146"/>
      <c r="L3" s="146"/>
      <c r="M3" s="146"/>
      <c r="N3" s="150"/>
    </row>
    <row r="4" spans="1:26" s="151" customFormat="1" ht="18.75" x14ac:dyDescent="0.25">
      <c r="A4" s="264" t="s">
        <v>84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P4" s="149"/>
    </row>
    <row r="5" spans="1:26" s="151" customFormat="1" ht="15.75" x14ac:dyDescent="0.25">
      <c r="A5" s="265" t="s">
        <v>106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P5" s="149"/>
    </row>
    <row r="6" spans="1:26" s="151" customFormat="1" ht="15.75" x14ac:dyDescent="0.25">
      <c r="A6" s="265" t="s">
        <v>299</v>
      </c>
      <c r="B6" s="265"/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P6" s="149"/>
    </row>
    <row r="7" spans="1:26" s="151" customFormat="1" ht="15.75" x14ac:dyDescent="0.25">
      <c r="A7" s="253"/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P7" s="152"/>
    </row>
    <row r="8" spans="1:26" s="151" customFormat="1" ht="15.75" thickBot="1" x14ac:dyDescent="0.25">
      <c r="A8" s="153"/>
      <c r="B8" s="154"/>
      <c r="C8" s="154"/>
      <c r="D8" s="145"/>
      <c r="E8" s="154"/>
      <c r="F8" s="155"/>
      <c r="G8" s="155"/>
      <c r="H8" s="154"/>
      <c r="I8" s="154"/>
      <c r="J8" s="102"/>
      <c r="K8" s="102"/>
      <c r="L8" s="102"/>
      <c r="M8" s="145"/>
      <c r="N8" s="156"/>
      <c r="P8" s="152"/>
    </row>
    <row r="9" spans="1:26" s="151" customFormat="1" x14ac:dyDescent="0.25">
      <c r="A9" s="266" t="s">
        <v>18</v>
      </c>
      <c r="B9" s="269" t="s">
        <v>1</v>
      </c>
      <c r="C9" s="269" t="s">
        <v>69</v>
      </c>
      <c r="D9" s="272" t="s">
        <v>17</v>
      </c>
      <c r="E9" s="272" t="s">
        <v>2</v>
      </c>
      <c r="F9" s="272" t="s">
        <v>19</v>
      </c>
      <c r="G9" s="275" t="s">
        <v>20</v>
      </c>
      <c r="H9" s="278" t="s">
        <v>10</v>
      </c>
      <c r="I9" s="281" t="s">
        <v>68</v>
      </c>
      <c r="J9" s="281"/>
      <c r="K9" s="281"/>
      <c r="L9" s="281"/>
      <c r="M9" s="281"/>
      <c r="N9" s="282"/>
      <c r="P9" s="261" t="s">
        <v>105</v>
      </c>
    </row>
    <row r="10" spans="1:26" s="151" customFormat="1" x14ac:dyDescent="0.2">
      <c r="A10" s="267"/>
      <c r="B10" s="270"/>
      <c r="C10" s="270"/>
      <c r="D10" s="273"/>
      <c r="E10" s="273"/>
      <c r="F10" s="273"/>
      <c r="G10" s="276"/>
      <c r="H10" s="279"/>
      <c r="I10" s="283" t="s">
        <v>64</v>
      </c>
      <c r="J10" s="258"/>
      <c r="K10" s="284" t="s">
        <v>65</v>
      </c>
      <c r="L10" s="257" t="s">
        <v>66</v>
      </c>
      <c r="M10" s="258"/>
      <c r="N10" s="259" t="s">
        <v>67</v>
      </c>
      <c r="O10" s="145"/>
      <c r="P10" s="262"/>
    </row>
    <row r="11" spans="1:26" s="151" customFormat="1" ht="26.25" thickBot="1" x14ac:dyDescent="0.3">
      <c r="A11" s="268"/>
      <c r="B11" s="271"/>
      <c r="C11" s="271"/>
      <c r="D11" s="274"/>
      <c r="E11" s="274"/>
      <c r="F11" s="274"/>
      <c r="G11" s="277"/>
      <c r="H11" s="280"/>
      <c r="I11" s="157" t="s">
        <v>3</v>
      </c>
      <c r="J11" s="157" t="s">
        <v>63</v>
      </c>
      <c r="K11" s="285"/>
      <c r="L11" s="254" t="s">
        <v>3</v>
      </c>
      <c r="M11" s="158" t="s">
        <v>63</v>
      </c>
      <c r="N11" s="260"/>
      <c r="P11" s="262"/>
    </row>
    <row r="12" spans="1:26" s="164" customFormat="1" ht="12.75" x14ac:dyDescent="0.25">
      <c r="A12" s="159">
        <v>1</v>
      </c>
      <c r="B12" s="160">
        <v>2</v>
      </c>
      <c r="C12" s="160">
        <v>3</v>
      </c>
      <c r="D12" s="160">
        <v>4</v>
      </c>
      <c r="E12" s="160">
        <v>5</v>
      </c>
      <c r="F12" s="160">
        <v>6</v>
      </c>
      <c r="G12" s="161">
        <v>7</v>
      </c>
      <c r="H12" s="162">
        <v>8</v>
      </c>
      <c r="I12" s="160">
        <v>9</v>
      </c>
      <c r="J12" s="160">
        <v>10</v>
      </c>
      <c r="K12" s="160">
        <v>11</v>
      </c>
      <c r="L12" s="160">
        <v>12</v>
      </c>
      <c r="M12" s="160">
        <v>13</v>
      </c>
      <c r="N12" s="163">
        <v>14</v>
      </c>
      <c r="P12" s="263"/>
    </row>
    <row r="13" spans="1:26" s="164" customFormat="1" x14ac:dyDescent="0.25">
      <c r="A13" s="165"/>
      <c r="B13" s="166"/>
      <c r="C13" s="115"/>
      <c r="D13" s="143" t="s">
        <v>186</v>
      </c>
      <c r="E13" s="107"/>
      <c r="F13" s="107"/>
      <c r="G13" s="107"/>
      <c r="H13" s="108"/>
      <c r="I13" s="250"/>
      <c r="J13" s="251"/>
      <c r="K13" s="110"/>
      <c r="L13" s="119"/>
      <c r="M13" s="119"/>
      <c r="N13" s="119"/>
      <c r="P13" s="167"/>
    </row>
    <row r="14" spans="1:26" s="164" customFormat="1" ht="12.75" x14ac:dyDescent="0.25">
      <c r="A14" s="168">
        <v>1</v>
      </c>
      <c r="B14" s="169"/>
      <c r="C14" s="169"/>
      <c r="D14" s="170" t="s">
        <v>155</v>
      </c>
      <c r="E14" s="125"/>
      <c r="F14" s="171"/>
      <c r="G14" s="172"/>
      <c r="H14" s="128"/>
      <c r="I14" s="252"/>
      <c r="J14" s="126"/>
      <c r="K14" s="173"/>
      <c r="L14" s="173"/>
      <c r="M14" s="127"/>
      <c r="N14" s="129"/>
      <c r="P14" s="174"/>
    </row>
    <row r="15" spans="1:26" s="164" customFormat="1" outlineLevel="1" x14ac:dyDescent="0.25">
      <c r="A15" s="175" t="s">
        <v>13</v>
      </c>
      <c r="B15" s="176" t="s">
        <v>129</v>
      </c>
      <c r="C15" s="176"/>
      <c r="D15" s="177" t="s">
        <v>130</v>
      </c>
      <c r="E15" s="178" t="s">
        <v>6</v>
      </c>
      <c r="F15" s="179" t="s">
        <v>59</v>
      </c>
      <c r="G15" s="180"/>
      <c r="H15" s="141">
        <f>H16</f>
        <v>9</v>
      </c>
      <c r="I15" s="223"/>
      <c r="J15" s="105"/>
      <c r="K15" s="181">
        <f>J15</f>
        <v>0</v>
      </c>
      <c r="L15" s="181"/>
      <c r="M15" s="112">
        <f>J15*H15</f>
        <v>0</v>
      </c>
      <c r="N15" s="130">
        <f>M15</f>
        <v>0</v>
      </c>
      <c r="P15" s="182" t="s">
        <v>173</v>
      </c>
      <c r="U15" s="249"/>
    </row>
    <row r="16" spans="1:26" s="164" customFormat="1" outlineLevel="1" x14ac:dyDescent="0.25">
      <c r="A16" s="184" t="s">
        <v>85</v>
      </c>
      <c r="B16" s="185"/>
      <c r="C16" s="186"/>
      <c r="D16" s="187" t="s">
        <v>107</v>
      </c>
      <c r="E16" s="188" t="s">
        <v>90</v>
      </c>
      <c r="F16" s="189" t="s">
        <v>59</v>
      </c>
      <c r="G16" s="190">
        <v>1</v>
      </c>
      <c r="H16" s="142">
        <f>4+3+2</f>
        <v>9</v>
      </c>
      <c r="I16" s="224"/>
      <c r="J16" s="106"/>
      <c r="K16" s="191">
        <f>I16</f>
        <v>0</v>
      </c>
      <c r="L16" s="191">
        <f>I16*H16</f>
        <v>0</v>
      </c>
      <c r="M16" s="114"/>
      <c r="N16" s="131">
        <f>L16</f>
        <v>0</v>
      </c>
      <c r="P16" s="111"/>
      <c r="Z16" s="192"/>
    </row>
    <row r="17" spans="1:26" s="164" customFormat="1" outlineLevel="1" x14ac:dyDescent="0.25">
      <c r="A17" s="184" t="s">
        <v>86</v>
      </c>
      <c r="B17" s="193"/>
      <c r="C17" s="194"/>
      <c r="D17" s="195" t="s">
        <v>128</v>
      </c>
      <c r="E17" s="188" t="s">
        <v>90</v>
      </c>
      <c r="F17" s="189" t="s">
        <v>59</v>
      </c>
      <c r="G17" s="190">
        <v>1</v>
      </c>
      <c r="H17" s="142">
        <f>H16</f>
        <v>9</v>
      </c>
      <c r="I17" s="224"/>
      <c r="J17" s="133"/>
      <c r="K17" s="191">
        <f>I17</f>
        <v>0</v>
      </c>
      <c r="L17" s="191">
        <f>I17*H17</f>
        <v>0</v>
      </c>
      <c r="M17" s="114"/>
      <c r="N17" s="131">
        <f>L17</f>
        <v>0</v>
      </c>
      <c r="P17" s="132"/>
      <c r="Z17" s="192"/>
    </row>
    <row r="18" spans="1:26" s="164" customFormat="1" ht="12.75" outlineLevel="1" x14ac:dyDescent="0.25">
      <c r="A18" s="175" t="s">
        <v>14</v>
      </c>
      <c r="B18" s="176" t="s">
        <v>131</v>
      </c>
      <c r="C18" s="176"/>
      <c r="D18" s="177" t="s">
        <v>88</v>
      </c>
      <c r="E18" s="178" t="s">
        <v>6</v>
      </c>
      <c r="F18" s="179" t="s">
        <v>59</v>
      </c>
      <c r="G18" s="180"/>
      <c r="H18" s="141">
        <f>H19</f>
        <v>4</v>
      </c>
      <c r="I18" s="223"/>
      <c r="J18" s="225"/>
      <c r="K18" s="181">
        <f>J18</f>
        <v>0</v>
      </c>
      <c r="L18" s="181"/>
      <c r="M18" s="112">
        <f>J18*H18</f>
        <v>0</v>
      </c>
      <c r="N18" s="130">
        <f>M18</f>
        <v>0</v>
      </c>
      <c r="P18" s="182" t="s">
        <v>173</v>
      </c>
      <c r="Z18" s="192"/>
    </row>
    <row r="19" spans="1:26" s="164" customFormat="1" outlineLevel="1" x14ac:dyDescent="0.25">
      <c r="A19" s="198" t="s">
        <v>87</v>
      </c>
      <c r="B19" s="193"/>
      <c r="C19" s="194"/>
      <c r="D19" s="199" t="s">
        <v>132</v>
      </c>
      <c r="E19" s="188" t="s">
        <v>90</v>
      </c>
      <c r="F19" s="189" t="s">
        <v>59</v>
      </c>
      <c r="G19" s="190">
        <v>1</v>
      </c>
      <c r="H19" s="142">
        <f>2*2</f>
        <v>4</v>
      </c>
      <c r="I19" s="224"/>
      <c r="J19" s="113"/>
      <c r="K19" s="191">
        <f>I19</f>
        <v>0</v>
      </c>
      <c r="L19" s="191">
        <f>I19*H19</f>
        <v>0</v>
      </c>
      <c r="M19" s="114"/>
      <c r="N19" s="131">
        <f>L19</f>
        <v>0</v>
      </c>
      <c r="P19" s="132"/>
      <c r="Z19" s="192"/>
    </row>
    <row r="20" spans="1:26" s="164" customFormat="1" ht="12.75" outlineLevel="1" x14ac:dyDescent="0.25">
      <c r="A20" s="175" t="s">
        <v>15</v>
      </c>
      <c r="B20" s="176" t="s">
        <v>134</v>
      </c>
      <c r="C20" s="176"/>
      <c r="D20" s="177" t="s">
        <v>133</v>
      </c>
      <c r="E20" s="178" t="s">
        <v>6</v>
      </c>
      <c r="F20" s="179" t="s">
        <v>59</v>
      </c>
      <c r="G20" s="180"/>
      <c r="H20" s="141">
        <f>H21</f>
        <v>4</v>
      </c>
      <c r="I20" s="223"/>
      <c r="J20" s="225"/>
      <c r="K20" s="181">
        <f>J20</f>
        <v>0</v>
      </c>
      <c r="L20" s="181"/>
      <c r="M20" s="112">
        <f>J20*H20</f>
        <v>0</v>
      </c>
      <c r="N20" s="130">
        <f>M20</f>
        <v>0</v>
      </c>
      <c r="P20" s="182" t="s">
        <v>173</v>
      </c>
      <c r="Z20" s="192"/>
    </row>
    <row r="21" spans="1:26" s="164" customFormat="1" outlineLevel="1" x14ac:dyDescent="0.25">
      <c r="A21" s="198" t="s">
        <v>92</v>
      </c>
      <c r="B21" s="193"/>
      <c r="C21" s="194"/>
      <c r="D21" s="199" t="s">
        <v>135</v>
      </c>
      <c r="E21" s="188" t="s">
        <v>90</v>
      </c>
      <c r="F21" s="200" t="s">
        <v>59</v>
      </c>
      <c r="G21" s="190"/>
      <c r="H21" s="142">
        <f>2*2</f>
        <v>4</v>
      </c>
      <c r="I21" s="224"/>
      <c r="J21" s="133"/>
      <c r="K21" s="191">
        <f>I21</f>
        <v>0</v>
      </c>
      <c r="L21" s="191">
        <f>I21*H21</f>
        <v>0</v>
      </c>
      <c r="M21" s="114"/>
      <c r="N21" s="131">
        <f>L21</f>
        <v>0</v>
      </c>
      <c r="P21" s="132"/>
      <c r="Z21" s="192"/>
    </row>
    <row r="22" spans="1:26" s="164" customFormat="1" ht="76.5" outlineLevel="1" x14ac:dyDescent="0.25">
      <c r="A22" s="175" t="s">
        <v>16</v>
      </c>
      <c r="B22" s="176" t="s">
        <v>124</v>
      </c>
      <c r="C22" s="176"/>
      <c r="D22" s="177" t="s">
        <v>149</v>
      </c>
      <c r="E22" s="178" t="s">
        <v>6</v>
      </c>
      <c r="F22" s="179" t="s">
        <v>89</v>
      </c>
      <c r="G22" s="180"/>
      <c r="H22" s="141">
        <f>58+58+69+74+80*3+160+160</f>
        <v>819</v>
      </c>
      <c r="I22" s="223"/>
      <c r="J22" s="105"/>
      <c r="K22" s="181">
        <f>J22</f>
        <v>0</v>
      </c>
      <c r="L22" s="181"/>
      <c r="M22" s="112">
        <f>J22*H22</f>
        <v>0</v>
      </c>
      <c r="N22" s="130">
        <f>M22</f>
        <v>0</v>
      </c>
      <c r="P22" s="182" t="s">
        <v>174</v>
      </c>
      <c r="Z22" s="192"/>
    </row>
    <row r="23" spans="1:26" s="164" customFormat="1" ht="38.25" outlineLevel="1" x14ac:dyDescent="0.25">
      <c r="A23" s="184" t="s">
        <v>93</v>
      </c>
      <c r="B23" s="185"/>
      <c r="C23" s="186"/>
      <c r="D23" s="206" t="s">
        <v>125</v>
      </c>
      <c r="E23" s="188" t="s">
        <v>90</v>
      </c>
      <c r="F23" s="189" t="s">
        <v>89</v>
      </c>
      <c r="G23" s="190">
        <v>1.03</v>
      </c>
      <c r="H23" s="142">
        <f>ROUND((58+58+69+74+80*3+160+160)*G23,0)</f>
        <v>844</v>
      </c>
      <c r="I23" s="224"/>
      <c r="J23" s="113"/>
      <c r="K23" s="191">
        <f>I23</f>
        <v>0</v>
      </c>
      <c r="L23" s="191">
        <f>I23*H23</f>
        <v>0</v>
      </c>
      <c r="M23" s="114"/>
      <c r="N23" s="131">
        <f>L23</f>
        <v>0</v>
      </c>
      <c r="P23" s="132"/>
      <c r="Z23" s="192"/>
    </row>
    <row r="24" spans="1:26" s="164" customFormat="1" ht="76.5" outlineLevel="1" x14ac:dyDescent="0.25">
      <c r="A24" s="175" t="s">
        <v>31</v>
      </c>
      <c r="B24" s="176" t="s">
        <v>124</v>
      </c>
      <c r="C24" s="176"/>
      <c r="D24" s="177" t="s">
        <v>217</v>
      </c>
      <c r="E24" s="178" t="s">
        <v>6</v>
      </c>
      <c r="F24" s="179" t="s">
        <v>89</v>
      </c>
      <c r="G24" s="180"/>
      <c r="H24" s="104">
        <v>291</v>
      </c>
      <c r="I24" s="223"/>
      <c r="J24" s="105"/>
      <c r="K24" s="181">
        <f>J24</f>
        <v>0</v>
      </c>
      <c r="L24" s="181"/>
      <c r="M24" s="112">
        <f>J24*H24</f>
        <v>0</v>
      </c>
      <c r="N24" s="130">
        <f>M24</f>
        <v>0</v>
      </c>
      <c r="P24" s="182" t="s">
        <v>174</v>
      </c>
      <c r="Z24" s="192"/>
    </row>
    <row r="25" spans="1:26" s="164" customFormat="1" ht="38.25" outlineLevel="1" x14ac:dyDescent="0.25">
      <c r="A25" s="184" t="s">
        <v>101</v>
      </c>
      <c r="B25" s="185"/>
      <c r="C25" s="186"/>
      <c r="D25" s="206" t="s">
        <v>125</v>
      </c>
      <c r="E25" s="188" t="s">
        <v>90</v>
      </c>
      <c r="F25" s="189" t="s">
        <v>89</v>
      </c>
      <c r="G25" s="190">
        <v>1.03</v>
      </c>
      <c r="H25" s="142">
        <f>ROUND((5+5+5+10+11+13+14+34+28)*G25,0)</f>
        <v>129</v>
      </c>
      <c r="I25" s="224"/>
      <c r="J25" s="113"/>
      <c r="K25" s="191">
        <f>I25</f>
        <v>0</v>
      </c>
      <c r="L25" s="191">
        <f>I25*H25</f>
        <v>0</v>
      </c>
      <c r="M25" s="114"/>
      <c r="N25" s="131">
        <f>L25</f>
        <v>0</v>
      </c>
      <c r="P25" s="132"/>
      <c r="Z25" s="192"/>
    </row>
    <row r="26" spans="1:26" s="164" customFormat="1" ht="30" outlineLevel="1" x14ac:dyDescent="0.25">
      <c r="A26" s="184" t="s">
        <v>102</v>
      </c>
      <c r="B26" s="185"/>
      <c r="C26" s="186"/>
      <c r="D26" s="207" t="s">
        <v>126</v>
      </c>
      <c r="E26" s="188" t="s">
        <v>90</v>
      </c>
      <c r="F26" s="189" t="s">
        <v>89</v>
      </c>
      <c r="G26" s="190">
        <v>1.03</v>
      </c>
      <c r="H26" s="142">
        <f>ROUND(166*G26,0)</f>
        <v>171</v>
      </c>
      <c r="I26" s="224"/>
      <c r="J26" s="113"/>
      <c r="K26" s="191">
        <f>I26</f>
        <v>0</v>
      </c>
      <c r="L26" s="191">
        <f t="shared" ref="L26:L27" si="0">I26*H26</f>
        <v>0</v>
      </c>
      <c r="M26" s="114"/>
      <c r="N26" s="131">
        <f t="shared" ref="N26:N27" si="1">L26</f>
        <v>0</v>
      </c>
      <c r="P26" s="111"/>
      <c r="Z26" s="192"/>
    </row>
    <row r="27" spans="1:26" s="164" customFormat="1" outlineLevel="1" x14ac:dyDescent="0.25">
      <c r="A27" s="184" t="s">
        <v>103</v>
      </c>
      <c r="B27" s="193"/>
      <c r="C27" s="194"/>
      <c r="D27" s="195" t="s">
        <v>127</v>
      </c>
      <c r="E27" s="188" t="s">
        <v>90</v>
      </c>
      <c r="F27" s="189" t="s">
        <v>89</v>
      </c>
      <c r="G27" s="190">
        <v>1.1000000000000001</v>
      </c>
      <c r="H27" s="142">
        <f>ROUND(291*G27,0)</f>
        <v>320</v>
      </c>
      <c r="I27" s="224"/>
      <c r="J27" s="133"/>
      <c r="K27" s="191">
        <f t="shared" ref="K27" si="2">I27</f>
        <v>0</v>
      </c>
      <c r="L27" s="191">
        <f t="shared" si="0"/>
        <v>0</v>
      </c>
      <c r="M27" s="114"/>
      <c r="N27" s="131">
        <f t="shared" si="1"/>
        <v>0</v>
      </c>
      <c r="P27" s="132"/>
      <c r="Z27" s="192"/>
    </row>
    <row r="28" spans="1:26" s="164" customFormat="1" ht="76.5" outlineLevel="1" x14ac:dyDescent="0.25">
      <c r="A28" s="175" t="s">
        <v>32</v>
      </c>
      <c r="B28" s="176" t="s">
        <v>124</v>
      </c>
      <c r="C28" s="176"/>
      <c r="D28" s="177" t="s">
        <v>150</v>
      </c>
      <c r="E28" s="178" t="s">
        <v>6</v>
      </c>
      <c r="F28" s="179" t="s">
        <v>89</v>
      </c>
      <c r="G28" s="180"/>
      <c r="H28" s="104">
        <f>4*3+84*2</f>
        <v>180</v>
      </c>
      <c r="I28" s="223"/>
      <c r="J28" s="105"/>
      <c r="K28" s="181">
        <f>J28</f>
        <v>0</v>
      </c>
      <c r="L28" s="181"/>
      <c r="M28" s="112">
        <f>J28*H28</f>
        <v>0</v>
      </c>
      <c r="N28" s="130">
        <f>M28</f>
        <v>0</v>
      </c>
      <c r="P28" s="182" t="s">
        <v>174</v>
      </c>
      <c r="Z28" s="192"/>
    </row>
    <row r="29" spans="1:26" s="164" customFormat="1" ht="38.25" outlineLevel="1" x14ac:dyDescent="0.25">
      <c r="A29" s="184" t="s">
        <v>104</v>
      </c>
      <c r="B29" s="185"/>
      <c r="C29" s="186"/>
      <c r="D29" s="206" t="s">
        <v>125</v>
      </c>
      <c r="E29" s="188" t="s">
        <v>90</v>
      </c>
      <c r="F29" s="189" t="s">
        <v>89</v>
      </c>
      <c r="G29" s="190">
        <v>1.03</v>
      </c>
      <c r="H29" s="142">
        <f>ROUND((4*3+84*2)*G29,0)</f>
        <v>185</v>
      </c>
      <c r="I29" s="224"/>
      <c r="J29" s="113"/>
      <c r="K29" s="191">
        <f>I29</f>
        <v>0</v>
      </c>
      <c r="L29" s="191">
        <f>I29*H29</f>
        <v>0</v>
      </c>
      <c r="M29" s="114"/>
      <c r="N29" s="131">
        <f>L29</f>
        <v>0</v>
      </c>
      <c r="P29" s="132"/>
      <c r="Z29" s="192"/>
    </row>
    <row r="30" spans="1:26" s="164" customFormat="1" x14ac:dyDescent="0.25">
      <c r="A30" s="165"/>
      <c r="B30" s="166"/>
      <c r="C30" s="115"/>
      <c r="D30" s="143" t="s">
        <v>187</v>
      </c>
      <c r="E30" s="107"/>
      <c r="F30" s="107"/>
      <c r="G30" s="107"/>
      <c r="H30" s="108"/>
      <c r="I30" s="250"/>
      <c r="J30" s="251"/>
      <c r="K30" s="110"/>
      <c r="L30" s="119"/>
      <c r="M30" s="119"/>
      <c r="N30" s="119"/>
      <c r="P30" s="197"/>
      <c r="Z30" s="192"/>
    </row>
    <row r="31" spans="1:26" s="164" customFormat="1" ht="12.75" x14ac:dyDescent="0.25">
      <c r="A31" s="168">
        <v>2</v>
      </c>
      <c r="B31" s="169"/>
      <c r="C31" s="169"/>
      <c r="D31" s="170" t="s">
        <v>155</v>
      </c>
      <c r="E31" s="125"/>
      <c r="F31" s="171"/>
      <c r="G31" s="172"/>
      <c r="H31" s="128"/>
      <c r="I31" s="252"/>
      <c r="J31" s="126"/>
      <c r="K31" s="173"/>
      <c r="L31" s="173"/>
      <c r="M31" s="127"/>
      <c r="N31" s="129"/>
      <c r="P31" s="174"/>
    </row>
    <row r="32" spans="1:26" s="164" customFormat="1" outlineLevel="1" x14ac:dyDescent="0.25">
      <c r="A32" s="175" t="s">
        <v>156</v>
      </c>
      <c r="B32" s="176" t="s">
        <v>129</v>
      </c>
      <c r="C32" s="176"/>
      <c r="D32" s="177" t="s">
        <v>130</v>
      </c>
      <c r="E32" s="178" t="s">
        <v>6</v>
      </c>
      <c r="F32" s="179" t="s">
        <v>59</v>
      </c>
      <c r="G32" s="180"/>
      <c r="H32" s="104">
        <f>H33</f>
        <v>10</v>
      </c>
      <c r="I32" s="223"/>
      <c r="J32" s="105"/>
      <c r="K32" s="181">
        <f>J32</f>
        <v>0</v>
      </c>
      <c r="L32" s="181"/>
      <c r="M32" s="112">
        <f>J32*H32</f>
        <v>0</v>
      </c>
      <c r="N32" s="130">
        <f>M32</f>
        <v>0</v>
      </c>
      <c r="P32" s="182" t="s">
        <v>173</v>
      </c>
      <c r="U32" s="249"/>
    </row>
    <row r="33" spans="1:26" s="164" customFormat="1" outlineLevel="1" x14ac:dyDescent="0.25">
      <c r="A33" s="184" t="s">
        <v>157</v>
      </c>
      <c r="B33" s="185"/>
      <c r="C33" s="186"/>
      <c r="D33" s="187" t="s">
        <v>107</v>
      </c>
      <c r="E33" s="188" t="s">
        <v>90</v>
      </c>
      <c r="F33" s="189" t="s">
        <v>59</v>
      </c>
      <c r="G33" s="190">
        <v>1</v>
      </c>
      <c r="H33" s="103">
        <f>2+6+2</f>
        <v>10</v>
      </c>
      <c r="I33" s="224"/>
      <c r="J33" s="106"/>
      <c r="K33" s="191">
        <f>I33</f>
        <v>0</v>
      </c>
      <c r="L33" s="191">
        <f>I33*H33</f>
        <v>0</v>
      </c>
      <c r="M33" s="114"/>
      <c r="N33" s="131">
        <f>L33</f>
        <v>0</v>
      </c>
      <c r="P33" s="111"/>
      <c r="Z33" s="192"/>
    </row>
    <row r="34" spans="1:26" s="164" customFormat="1" outlineLevel="1" x14ac:dyDescent="0.25">
      <c r="A34" s="184" t="s">
        <v>158</v>
      </c>
      <c r="B34" s="193"/>
      <c r="C34" s="194"/>
      <c r="D34" s="195" t="s">
        <v>128</v>
      </c>
      <c r="E34" s="188" t="s">
        <v>90</v>
      </c>
      <c r="F34" s="189" t="s">
        <v>59</v>
      </c>
      <c r="G34" s="190">
        <v>1</v>
      </c>
      <c r="H34" s="103">
        <f>H33</f>
        <v>10</v>
      </c>
      <c r="I34" s="224"/>
      <c r="J34" s="133"/>
      <c r="K34" s="191">
        <f>I34</f>
        <v>0</v>
      </c>
      <c r="L34" s="191">
        <f>I34*H34</f>
        <v>0</v>
      </c>
      <c r="M34" s="114"/>
      <c r="N34" s="131">
        <f>L34</f>
        <v>0</v>
      </c>
      <c r="P34" s="132"/>
      <c r="Z34" s="192"/>
    </row>
    <row r="35" spans="1:26" s="164" customFormat="1" ht="12.75" outlineLevel="1" x14ac:dyDescent="0.25">
      <c r="A35" s="175" t="s">
        <v>159</v>
      </c>
      <c r="B35" s="176" t="s">
        <v>131</v>
      </c>
      <c r="C35" s="176"/>
      <c r="D35" s="177" t="s">
        <v>88</v>
      </c>
      <c r="E35" s="178" t="s">
        <v>6</v>
      </c>
      <c r="F35" s="179" t="s">
        <v>59</v>
      </c>
      <c r="G35" s="180"/>
      <c r="H35" s="104">
        <f>H36</f>
        <v>4</v>
      </c>
      <c r="I35" s="223"/>
      <c r="J35" s="225"/>
      <c r="K35" s="181">
        <f>J35</f>
        <v>0</v>
      </c>
      <c r="L35" s="181"/>
      <c r="M35" s="112">
        <f>J35*H35</f>
        <v>0</v>
      </c>
      <c r="N35" s="130">
        <f>M35</f>
        <v>0</v>
      </c>
      <c r="P35" s="182" t="s">
        <v>173</v>
      </c>
      <c r="Z35" s="192"/>
    </row>
    <row r="36" spans="1:26" s="164" customFormat="1" outlineLevel="1" x14ac:dyDescent="0.25">
      <c r="A36" s="198" t="s">
        <v>160</v>
      </c>
      <c r="B36" s="193"/>
      <c r="C36" s="194"/>
      <c r="D36" s="199" t="s">
        <v>132</v>
      </c>
      <c r="E36" s="188" t="s">
        <v>90</v>
      </c>
      <c r="F36" s="189" t="s">
        <v>59</v>
      </c>
      <c r="G36" s="190">
        <v>1</v>
      </c>
      <c r="H36" s="103">
        <f>2*2</f>
        <v>4</v>
      </c>
      <c r="I36" s="224"/>
      <c r="J36" s="113"/>
      <c r="K36" s="191">
        <f>I36</f>
        <v>0</v>
      </c>
      <c r="L36" s="191">
        <f>I36*H36</f>
        <v>0</v>
      </c>
      <c r="M36" s="114"/>
      <c r="N36" s="131">
        <f>L36</f>
        <v>0</v>
      </c>
      <c r="P36" s="132"/>
      <c r="Z36" s="192"/>
    </row>
    <row r="37" spans="1:26" s="164" customFormat="1" ht="12.75" outlineLevel="1" x14ac:dyDescent="0.25">
      <c r="A37" s="175" t="s">
        <v>161</v>
      </c>
      <c r="B37" s="176" t="s">
        <v>134</v>
      </c>
      <c r="C37" s="176"/>
      <c r="D37" s="177" t="s">
        <v>133</v>
      </c>
      <c r="E37" s="178" t="s">
        <v>6</v>
      </c>
      <c r="F37" s="179" t="s">
        <v>59</v>
      </c>
      <c r="G37" s="180"/>
      <c r="H37" s="104">
        <f>H38</f>
        <v>4</v>
      </c>
      <c r="I37" s="223"/>
      <c r="J37" s="225"/>
      <c r="K37" s="181">
        <f>J37</f>
        <v>0</v>
      </c>
      <c r="L37" s="181"/>
      <c r="M37" s="112">
        <f>J37*H37</f>
        <v>0</v>
      </c>
      <c r="N37" s="130">
        <f>M37</f>
        <v>0</v>
      </c>
      <c r="P37" s="182" t="s">
        <v>173</v>
      </c>
      <c r="Z37" s="192"/>
    </row>
    <row r="38" spans="1:26" s="164" customFormat="1" outlineLevel="1" x14ac:dyDescent="0.25">
      <c r="A38" s="198" t="s">
        <v>162</v>
      </c>
      <c r="B38" s="193"/>
      <c r="C38" s="194"/>
      <c r="D38" s="199" t="s">
        <v>135</v>
      </c>
      <c r="E38" s="188" t="s">
        <v>90</v>
      </c>
      <c r="F38" s="200" t="s">
        <v>59</v>
      </c>
      <c r="G38" s="190">
        <v>1</v>
      </c>
      <c r="H38" s="103">
        <f>2*2</f>
        <v>4</v>
      </c>
      <c r="I38" s="224"/>
      <c r="J38" s="133"/>
      <c r="K38" s="191">
        <f>I38</f>
        <v>0</v>
      </c>
      <c r="L38" s="191">
        <f>I38*H38</f>
        <v>0</v>
      </c>
      <c r="M38" s="114"/>
      <c r="N38" s="131">
        <f>L38</f>
        <v>0</v>
      </c>
      <c r="P38" s="132"/>
      <c r="Z38" s="192"/>
    </row>
    <row r="39" spans="1:26" s="164" customFormat="1" ht="12.75" outlineLevel="1" x14ac:dyDescent="0.25">
      <c r="A39" s="175" t="s">
        <v>163</v>
      </c>
      <c r="B39" s="176" t="s">
        <v>109</v>
      </c>
      <c r="C39" s="176"/>
      <c r="D39" s="177" t="s">
        <v>108</v>
      </c>
      <c r="E39" s="178" t="s">
        <v>6</v>
      </c>
      <c r="F39" s="179" t="s">
        <v>59</v>
      </c>
      <c r="G39" s="180"/>
      <c r="H39" s="104">
        <v>1</v>
      </c>
      <c r="I39" s="223"/>
      <c r="J39" s="225"/>
      <c r="K39" s="181">
        <f>J39</f>
        <v>0</v>
      </c>
      <c r="L39" s="181"/>
      <c r="M39" s="112">
        <f>J39*H39</f>
        <v>0</v>
      </c>
      <c r="N39" s="130">
        <f>M39</f>
        <v>0</v>
      </c>
      <c r="P39" s="182" t="s">
        <v>173</v>
      </c>
      <c r="Z39" s="192"/>
    </row>
    <row r="40" spans="1:26" s="164" customFormat="1" ht="29.25" customHeight="1" outlineLevel="1" x14ac:dyDescent="0.25">
      <c r="A40" s="201" t="s">
        <v>164</v>
      </c>
      <c r="B40" s="202"/>
      <c r="C40" s="202"/>
      <c r="D40" s="203" t="s">
        <v>301</v>
      </c>
      <c r="E40" s="188" t="s">
        <v>90</v>
      </c>
      <c r="F40" s="204" t="s">
        <v>91</v>
      </c>
      <c r="G40" s="205">
        <v>1</v>
      </c>
      <c r="H40" s="138">
        <v>1</v>
      </c>
      <c r="I40" s="226"/>
      <c r="J40" s="227"/>
      <c r="K40" s="191">
        <f t="shared" ref="K40" si="3">I40</f>
        <v>0</v>
      </c>
      <c r="L40" s="191">
        <f t="shared" ref="L40" si="4">I40*H40</f>
        <v>0</v>
      </c>
      <c r="M40" s="114"/>
      <c r="N40" s="131">
        <f t="shared" ref="N40" si="5">L40</f>
        <v>0</v>
      </c>
      <c r="P40" s="137"/>
      <c r="Z40" s="192"/>
    </row>
    <row r="41" spans="1:26" s="164" customFormat="1" outlineLevel="1" x14ac:dyDescent="0.25">
      <c r="A41" s="184" t="s">
        <v>165</v>
      </c>
      <c r="B41" s="185"/>
      <c r="C41" s="186"/>
      <c r="D41" s="203" t="s">
        <v>143</v>
      </c>
      <c r="E41" s="188" t="s">
        <v>90</v>
      </c>
      <c r="F41" s="189" t="s">
        <v>59</v>
      </c>
      <c r="G41" s="190">
        <v>1</v>
      </c>
      <c r="H41" s="103">
        <v>1</v>
      </c>
      <c r="I41" s="224"/>
      <c r="J41" s="113"/>
      <c r="K41" s="191"/>
      <c r="L41" s="191"/>
      <c r="M41" s="114"/>
      <c r="N41" s="131"/>
      <c r="P41" s="111"/>
      <c r="Z41" s="192"/>
    </row>
    <row r="42" spans="1:26" s="164" customFormat="1" outlineLevel="1" x14ac:dyDescent="0.25">
      <c r="A42" s="201" t="s">
        <v>166</v>
      </c>
      <c r="B42" s="193"/>
      <c r="C42" s="194"/>
      <c r="D42" s="203" t="s">
        <v>111</v>
      </c>
      <c r="E42" s="188" t="s">
        <v>90</v>
      </c>
      <c r="F42" s="189" t="s">
        <v>59</v>
      </c>
      <c r="G42" s="190">
        <v>1</v>
      </c>
      <c r="H42" s="103">
        <v>1</v>
      </c>
      <c r="I42" s="135"/>
      <c r="J42" s="196"/>
      <c r="K42" s="191"/>
      <c r="L42" s="196"/>
      <c r="M42" s="134"/>
      <c r="N42" s="136"/>
      <c r="P42" s="132"/>
      <c r="Z42" s="192"/>
    </row>
    <row r="43" spans="1:26" s="164" customFormat="1" outlineLevel="1" x14ac:dyDescent="0.25">
      <c r="A43" s="184" t="s">
        <v>188</v>
      </c>
      <c r="B43" s="193"/>
      <c r="C43" s="194"/>
      <c r="D43" s="203" t="s">
        <v>112</v>
      </c>
      <c r="E43" s="188" t="s">
        <v>90</v>
      </c>
      <c r="F43" s="189" t="s">
        <v>59</v>
      </c>
      <c r="G43" s="190">
        <v>1</v>
      </c>
      <c r="H43" s="103">
        <v>1</v>
      </c>
      <c r="I43" s="135"/>
      <c r="J43" s="196"/>
      <c r="K43" s="191"/>
      <c r="L43" s="196"/>
      <c r="M43" s="134"/>
      <c r="N43" s="136"/>
      <c r="P43" s="132"/>
      <c r="Z43" s="192"/>
    </row>
    <row r="44" spans="1:26" s="164" customFormat="1" outlineLevel="1" x14ac:dyDescent="0.25">
      <c r="A44" s="201" t="s">
        <v>189</v>
      </c>
      <c r="B44" s="193"/>
      <c r="C44" s="194"/>
      <c r="D44" s="195" t="s">
        <v>113</v>
      </c>
      <c r="E44" s="188" t="s">
        <v>90</v>
      </c>
      <c r="F44" s="189" t="s">
        <v>59</v>
      </c>
      <c r="G44" s="190">
        <v>1</v>
      </c>
      <c r="H44" s="103">
        <v>1</v>
      </c>
      <c r="I44" s="135"/>
      <c r="J44" s="196"/>
      <c r="K44" s="196"/>
      <c r="L44" s="196"/>
      <c r="M44" s="134"/>
      <c r="N44" s="136"/>
      <c r="P44" s="132"/>
      <c r="Z44" s="192"/>
    </row>
    <row r="45" spans="1:26" s="164" customFormat="1" outlineLevel="1" x14ac:dyDescent="0.25">
      <c r="A45" s="184" t="s">
        <v>190</v>
      </c>
      <c r="B45" s="193"/>
      <c r="C45" s="194"/>
      <c r="D45" s="195" t="s">
        <v>114</v>
      </c>
      <c r="E45" s="188" t="s">
        <v>90</v>
      </c>
      <c r="F45" s="189" t="s">
        <v>59</v>
      </c>
      <c r="G45" s="190">
        <v>1</v>
      </c>
      <c r="H45" s="103">
        <v>3</v>
      </c>
      <c r="I45" s="135"/>
      <c r="J45" s="196"/>
      <c r="K45" s="196"/>
      <c r="L45" s="196"/>
      <c r="M45" s="134"/>
      <c r="N45" s="136"/>
      <c r="P45" s="132"/>
      <c r="Z45" s="192"/>
    </row>
    <row r="46" spans="1:26" s="164" customFormat="1" outlineLevel="1" x14ac:dyDescent="0.25">
      <c r="A46" s="201" t="s">
        <v>191</v>
      </c>
      <c r="B46" s="193"/>
      <c r="C46" s="194"/>
      <c r="D46" s="195" t="s">
        <v>115</v>
      </c>
      <c r="E46" s="188" t="s">
        <v>90</v>
      </c>
      <c r="F46" s="189" t="s">
        <v>59</v>
      </c>
      <c r="G46" s="190">
        <v>1</v>
      </c>
      <c r="H46" s="103">
        <v>1</v>
      </c>
      <c r="I46" s="135"/>
      <c r="J46" s="196"/>
      <c r="K46" s="196"/>
      <c r="L46" s="196"/>
      <c r="M46" s="134"/>
      <c r="N46" s="136"/>
      <c r="P46" s="132"/>
      <c r="Z46" s="192"/>
    </row>
    <row r="47" spans="1:26" s="164" customFormat="1" outlineLevel="1" x14ac:dyDescent="0.25">
      <c r="A47" s="184" t="s">
        <v>192</v>
      </c>
      <c r="B47" s="193"/>
      <c r="C47" s="194"/>
      <c r="D47" s="195" t="s">
        <v>116</v>
      </c>
      <c r="E47" s="188" t="s">
        <v>90</v>
      </c>
      <c r="F47" s="189" t="s">
        <v>59</v>
      </c>
      <c r="G47" s="190">
        <v>1</v>
      </c>
      <c r="H47" s="103">
        <v>1</v>
      </c>
      <c r="I47" s="135"/>
      <c r="J47" s="196"/>
      <c r="K47" s="196"/>
      <c r="L47" s="196"/>
      <c r="M47" s="134"/>
      <c r="N47" s="136"/>
      <c r="P47" s="132"/>
      <c r="Z47" s="192"/>
    </row>
    <row r="48" spans="1:26" s="164" customFormat="1" outlineLevel="1" x14ac:dyDescent="0.25">
      <c r="A48" s="201" t="s">
        <v>193</v>
      </c>
      <c r="B48" s="193"/>
      <c r="C48" s="194"/>
      <c r="D48" s="195" t="s">
        <v>117</v>
      </c>
      <c r="E48" s="188" t="s">
        <v>90</v>
      </c>
      <c r="F48" s="189" t="s">
        <v>59</v>
      </c>
      <c r="G48" s="190">
        <v>1</v>
      </c>
      <c r="H48" s="103">
        <v>1</v>
      </c>
      <c r="I48" s="135"/>
      <c r="J48" s="196"/>
      <c r="K48" s="196"/>
      <c r="L48" s="196"/>
      <c r="M48" s="134"/>
      <c r="N48" s="136"/>
      <c r="P48" s="132"/>
      <c r="Z48" s="192"/>
    </row>
    <row r="49" spans="1:26" s="164" customFormat="1" outlineLevel="1" x14ac:dyDescent="0.25">
      <c r="A49" s="184" t="s">
        <v>194</v>
      </c>
      <c r="B49" s="193"/>
      <c r="C49" s="194"/>
      <c r="D49" s="195" t="s">
        <v>118</v>
      </c>
      <c r="E49" s="188" t="s">
        <v>90</v>
      </c>
      <c r="F49" s="189" t="s">
        <v>59</v>
      </c>
      <c r="G49" s="190">
        <v>1</v>
      </c>
      <c r="H49" s="103">
        <v>2</v>
      </c>
      <c r="I49" s="135"/>
      <c r="J49" s="196"/>
      <c r="K49" s="196"/>
      <c r="L49" s="196"/>
      <c r="M49" s="134"/>
      <c r="N49" s="136"/>
      <c r="P49" s="132"/>
      <c r="Z49" s="192"/>
    </row>
    <row r="50" spans="1:26" s="164" customFormat="1" outlineLevel="1" x14ac:dyDescent="0.25">
      <c r="A50" s="201" t="s">
        <v>195</v>
      </c>
      <c r="B50" s="193"/>
      <c r="C50" s="194"/>
      <c r="D50" s="195" t="s">
        <v>119</v>
      </c>
      <c r="E50" s="188" t="s">
        <v>90</v>
      </c>
      <c r="F50" s="189" t="s">
        <v>59</v>
      </c>
      <c r="G50" s="190">
        <v>1</v>
      </c>
      <c r="H50" s="103">
        <v>1</v>
      </c>
      <c r="I50" s="135"/>
      <c r="J50" s="196"/>
      <c r="K50" s="196"/>
      <c r="L50" s="196"/>
      <c r="M50" s="134"/>
      <c r="N50" s="136"/>
      <c r="P50" s="132"/>
      <c r="Z50" s="192"/>
    </row>
    <row r="51" spans="1:26" s="164" customFormat="1" outlineLevel="1" x14ac:dyDescent="0.25">
      <c r="A51" s="184" t="s">
        <v>196</v>
      </c>
      <c r="B51" s="193"/>
      <c r="C51" s="194"/>
      <c r="D51" s="195" t="s">
        <v>120</v>
      </c>
      <c r="E51" s="188" t="s">
        <v>90</v>
      </c>
      <c r="F51" s="189" t="s">
        <v>59</v>
      </c>
      <c r="G51" s="190">
        <v>1</v>
      </c>
      <c r="H51" s="103">
        <v>1</v>
      </c>
      <c r="I51" s="135"/>
      <c r="J51" s="196"/>
      <c r="K51" s="196"/>
      <c r="L51" s="196"/>
      <c r="M51" s="134"/>
      <c r="N51" s="136"/>
      <c r="P51" s="132"/>
      <c r="Z51" s="192"/>
    </row>
    <row r="52" spans="1:26" s="164" customFormat="1" outlineLevel="1" x14ac:dyDescent="0.25">
      <c r="A52" s="201" t="s">
        <v>197</v>
      </c>
      <c r="B52" s="193"/>
      <c r="C52" s="194"/>
      <c r="D52" s="195" t="s">
        <v>121</v>
      </c>
      <c r="E52" s="188" t="s">
        <v>90</v>
      </c>
      <c r="F52" s="189" t="s">
        <v>59</v>
      </c>
      <c r="G52" s="190">
        <v>1</v>
      </c>
      <c r="H52" s="103">
        <v>1</v>
      </c>
      <c r="I52" s="135"/>
      <c r="J52" s="196"/>
      <c r="K52" s="196"/>
      <c r="L52" s="196"/>
      <c r="M52" s="134"/>
      <c r="N52" s="136"/>
      <c r="P52" s="132"/>
      <c r="Z52" s="192"/>
    </row>
    <row r="53" spans="1:26" s="164" customFormat="1" outlineLevel="1" x14ac:dyDescent="0.25">
      <c r="A53" s="184" t="s">
        <v>198</v>
      </c>
      <c r="B53" s="193"/>
      <c r="C53" s="194"/>
      <c r="D53" s="195" t="s">
        <v>122</v>
      </c>
      <c r="E53" s="188" t="s">
        <v>90</v>
      </c>
      <c r="F53" s="189" t="s">
        <v>59</v>
      </c>
      <c r="G53" s="190">
        <v>1</v>
      </c>
      <c r="H53" s="103">
        <v>5</v>
      </c>
      <c r="I53" s="135"/>
      <c r="J53" s="196"/>
      <c r="K53" s="196"/>
      <c r="L53" s="196"/>
      <c r="M53" s="134"/>
      <c r="N53" s="136"/>
      <c r="P53" s="132"/>
      <c r="Z53" s="192"/>
    </row>
    <row r="54" spans="1:26" s="164" customFormat="1" outlineLevel="1" x14ac:dyDescent="0.25">
      <c r="A54" s="201" t="s">
        <v>199</v>
      </c>
      <c r="B54" s="193"/>
      <c r="C54" s="194"/>
      <c r="D54" s="195" t="s">
        <v>123</v>
      </c>
      <c r="E54" s="188" t="s">
        <v>90</v>
      </c>
      <c r="F54" s="189" t="s">
        <v>59</v>
      </c>
      <c r="G54" s="190">
        <v>1</v>
      </c>
      <c r="H54" s="103">
        <v>1</v>
      </c>
      <c r="I54" s="135"/>
      <c r="J54" s="196"/>
      <c r="K54" s="196"/>
      <c r="L54" s="196"/>
      <c r="M54" s="134"/>
      <c r="N54" s="136"/>
      <c r="P54" s="132"/>
      <c r="Z54" s="192"/>
    </row>
    <row r="55" spans="1:26" s="164" customFormat="1" ht="76.5" outlineLevel="1" x14ac:dyDescent="0.25">
      <c r="A55" s="175" t="s">
        <v>167</v>
      </c>
      <c r="B55" s="176" t="s">
        <v>124</v>
      </c>
      <c r="C55" s="176"/>
      <c r="D55" s="177" t="s">
        <v>149</v>
      </c>
      <c r="E55" s="178" t="s">
        <v>6</v>
      </c>
      <c r="F55" s="179" t="s">
        <v>89</v>
      </c>
      <c r="G55" s="180"/>
      <c r="H55" s="104">
        <f>22+38+42*6+37*2</f>
        <v>386</v>
      </c>
      <c r="I55" s="223"/>
      <c r="J55" s="105"/>
      <c r="K55" s="181">
        <f>J55</f>
        <v>0</v>
      </c>
      <c r="L55" s="181"/>
      <c r="M55" s="112">
        <f>J55*H55</f>
        <v>0</v>
      </c>
      <c r="N55" s="130">
        <f>M55</f>
        <v>0</v>
      </c>
      <c r="P55" s="182" t="s">
        <v>174</v>
      </c>
      <c r="Z55" s="192"/>
    </row>
    <row r="56" spans="1:26" s="164" customFormat="1" ht="38.25" outlineLevel="1" x14ac:dyDescent="0.25">
      <c r="A56" s="184" t="s">
        <v>168</v>
      </c>
      <c r="B56" s="185"/>
      <c r="C56" s="186"/>
      <c r="D56" s="206" t="s">
        <v>125</v>
      </c>
      <c r="E56" s="188" t="s">
        <v>90</v>
      </c>
      <c r="F56" s="189" t="s">
        <v>89</v>
      </c>
      <c r="G56" s="190">
        <v>1</v>
      </c>
      <c r="H56" s="103">
        <f>ROUND((22+38+42*6+37*2)*G56,0)</f>
        <v>386</v>
      </c>
      <c r="I56" s="224"/>
      <c r="J56" s="113"/>
      <c r="K56" s="191">
        <f>I56</f>
        <v>0</v>
      </c>
      <c r="L56" s="191">
        <f>I56*H56</f>
        <v>0</v>
      </c>
      <c r="M56" s="114"/>
      <c r="N56" s="131">
        <f>L56</f>
        <v>0</v>
      </c>
      <c r="P56" s="132"/>
      <c r="Z56" s="192"/>
    </row>
    <row r="57" spans="1:26" s="164" customFormat="1" ht="76.5" outlineLevel="1" x14ac:dyDescent="0.25">
      <c r="A57" s="175" t="s">
        <v>171</v>
      </c>
      <c r="B57" s="176" t="s">
        <v>124</v>
      </c>
      <c r="C57" s="176"/>
      <c r="D57" s="177" t="s">
        <v>217</v>
      </c>
      <c r="E57" s="178" t="s">
        <v>6</v>
      </c>
      <c r="F57" s="179" t="s">
        <v>89</v>
      </c>
      <c r="G57" s="180"/>
      <c r="H57" s="104">
        <v>391</v>
      </c>
      <c r="I57" s="223"/>
      <c r="J57" s="105"/>
      <c r="K57" s="181">
        <f>J57</f>
        <v>0</v>
      </c>
      <c r="L57" s="181"/>
      <c r="M57" s="112">
        <f>J57*H57</f>
        <v>0</v>
      </c>
      <c r="N57" s="130">
        <f>M57</f>
        <v>0</v>
      </c>
      <c r="P57" s="182" t="s">
        <v>174</v>
      </c>
      <c r="Z57" s="192"/>
    </row>
    <row r="58" spans="1:26" s="164" customFormat="1" ht="38.25" outlineLevel="1" x14ac:dyDescent="0.25">
      <c r="A58" s="184" t="s">
        <v>172</v>
      </c>
      <c r="B58" s="185"/>
      <c r="C58" s="186"/>
      <c r="D58" s="206" t="s">
        <v>125</v>
      </c>
      <c r="E58" s="188" t="s">
        <v>90</v>
      </c>
      <c r="F58" s="189" t="s">
        <v>89</v>
      </c>
      <c r="G58" s="190">
        <v>1</v>
      </c>
      <c r="H58" s="103">
        <f>ROUND((10+5+12+16+13+14+24+24+18+27)*G58,0)</f>
        <v>163</v>
      </c>
      <c r="I58" s="224"/>
      <c r="J58" s="113"/>
      <c r="K58" s="191">
        <f>I58</f>
        <v>0</v>
      </c>
      <c r="L58" s="191">
        <f>I58*H58</f>
        <v>0</v>
      </c>
      <c r="M58" s="114"/>
      <c r="N58" s="131">
        <f>L58</f>
        <v>0</v>
      </c>
      <c r="P58" s="132"/>
      <c r="Z58" s="192"/>
    </row>
    <row r="59" spans="1:26" s="164" customFormat="1" ht="30" outlineLevel="1" x14ac:dyDescent="0.25">
      <c r="A59" s="184" t="s">
        <v>200</v>
      </c>
      <c r="B59" s="185"/>
      <c r="C59" s="186"/>
      <c r="D59" s="207" t="s">
        <v>126</v>
      </c>
      <c r="E59" s="188" t="s">
        <v>90</v>
      </c>
      <c r="F59" s="189" t="s">
        <v>89</v>
      </c>
      <c r="G59" s="190">
        <v>1</v>
      </c>
      <c r="H59" s="103">
        <f>ROUND(228*G59,0)</f>
        <v>228</v>
      </c>
      <c r="I59" s="224"/>
      <c r="J59" s="113"/>
      <c r="K59" s="191">
        <f>I59</f>
        <v>0</v>
      </c>
      <c r="L59" s="191">
        <f t="shared" ref="L59:L60" si="6">I59*H59</f>
        <v>0</v>
      </c>
      <c r="M59" s="114"/>
      <c r="N59" s="131">
        <f t="shared" ref="N59:N60" si="7">L59</f>
        <v>0</v>
      </c>
      <c r="P59" s="111"/>
      <c r="Z59" s="192"/>
    </row>
    <row r="60" spans="1:26" s="164" customFormat="1" outlineLevel="1" x14ac:dyDescent="0.25">
      <c r="A60" s="184" t="s">
        <v>201</v>
      </c>
      <c r="B60" s="193"/>
      <c r="C60" s="194"/>
      <c r="D60" s="195" t="s">
        <v>127</v>
      </c>
      <c r="E60" s="188" t="s">
        <v>90</v>
      </c>
      <c r="F60" s="189" t="s">
        <v>89</v>
      </c>
      <c r="G60" s="190">
        <v>1</v>
      </c>
      <c r="H60" s="103">
        <f>ROUND(391*G60,0)</f>
        <v>391</v>
      </c>
      <c r="I60" s="224"/>
      <c r="J60" s="133"/>
      <c r="K60" s="191">
        <f t="shared" ref="K60" si="8">I60</f>
        <v>0</v>
      </c>
      <c r="L60" s="191">
        <f t="shared" si="6"/>
        <v>0</v>
      </c>
      <c r="M60" s="114"/>
      <c r="N60" s="131">
        <f t="shared" si="7"/>
        <v>0</v>
      </c>
      <c r="P60" s="132"/>
      <c r="Z60" s="192"/>
    </row>
    <row r="61" spans="1:26" s="164" customFormat="1" ht="76.5" outlineLevel="1" x14ac:dyDescent="0.25">
      <c r="A61" s="175" t="s">
        <v>202</v>
      </c>
      <c r="B61" s="176" t="s">
        <v>124</v>
      </c>
      <c r="C61" s="176"/>
      <c r="D61" s="177" t="s">
        <v>150</v>
      </c>
      <c r="E61" s="178" t="s">
        <v>6</v>
      </c>
      <c r="F61" s="179" t="s">
        <v>89</v>
      </c>
      <c r="G61" s="180"/>
      <c r="H61" s="104">
        <f>4*2+119*2</f>
        <v>246</v>
      </c>
      <c r="I61" s="223"/>
      <c r="J61" s="105"/>
      <c r="K61" s="181">
        <f>J61</f>
        <v>0</v>
      </c>
      <c r="L61" s="181"/>
      <c r="M61" s="112">
        <f>J61*H61</f>
        <v>0</v>
      </c>
      <c r="N61" s="130">
        <f>M61</f>
        <v>0</v>
      </c>
      <c r="P61" s="182" t="s">
        <v>174</v>
      </c>
      <c r="Z61" s="192"/>
    </row>
    <row r="62" spans="1:26" s="164" customFormat="1" ht="38.25" outlineLevel="1" x14ac:dyDescent="0.25">
      <c r="A62" s="184" t="s">
        <v>203</v>
      </c>
      <c r="B62" s="185"/>
      <c r="C62" s="186"/>
      <c r="D62" s="206" t="s">
        <v>125</v>
      </c>
      <c r="E62" s="188" t="s">
        <v>90</v>
      </c>
      <c r="F62" s="189" t="s">
        <v>89</v>
      </c>
      <c r="G62" s="190">
        <v>1</v>
      </c>
      <c r="H62" s="103">
        <f>ROUND((4*2+119*2)*G62,0)</f>
        <v>246</v>
      </c>
      <c r="I62" s="224"/>
      <c r="J62" s="113"/>
      <c r="K62" s="191">
        <f>I62</f>
        <v>0</v>
      </c>
      <c r="L62" s="191">
        <f>I62*H62</f>
        <v>0</v>
      </c>
      <c r="M62" s="114"/>
      <c r="N62" s="131">
        <f>L62</f>
        <v>0</v>
      </c>
      <c r="P62" s="132"/>
      <c r="Z62" s="192"/>
    </row>
    <row r="63" spans="1:26" s="164" customFormat="1" x14ac:dyDescent="0.25">
      <c r="A63" s="165"/>
      <c r="B63" s="166"/>
      <c r="C63" s="115"/>
      <c r="D63" s="143" t="s">
        <v>297</v>
      </c>
      <c r="E63" s="107"/>
      <c r="F63" s="107"/>
      <c r="G63" s="107"/>
      <c r="H63" s="108"/>
      <c r="I63" s="250"/>
      <c r="J63" s="251"/>
      <c r="K63" s="110"/>
      <c r="L63" s="119"/>
      <c r="M63" s="119"/>
      <c r="N63" s="119"/>
      <c r="P63" s="197"/>
      <c r="Z63" s="192"/>
    </row>
    <row r="64" spans="1:26" s="164" customFormat="1" ht="12.75" x14ac:dyDescent="0.25">
      <c r="A64" s="168">
        <v>3</v>
      </c>
      <c r="B64" s="169"/>
      <c r="C64" s="169"/>
      <c r="D64" s="170" t="s">
        <v>176</v>
      </c>
      <c r="E64" s="125"/>
      <c r="F64" s="171"/>
      <c r="G64" s="172"/>
      <c r="H64" s="128"/>
      <c r="I64" s="252"/>
      <c r="J64" s="126"/>
      <c r="K64" s="173"/>
      <c r="L64" s="173"/>
      <c r="M64" s="127"/>
      <c r="N64" s="129"/>
      <c r="P64" s="197"/>
      <c r="Z64" s="192"/>
    </row>
    <row r="65" spans="1:26" s="164" customFormat="1" ht="12.75" outlineLevel="1" x14ac:dyDescent="0.25">
      <c r="A65" s="175" t="s">
        <v>177</v>
      </c>
      <c r="B65" s="176" t="s">
        <v>145</v>
      </c>
      <c r="C65" s="176"/>
      <c r="D65" s="177" t="s">
        <v>146</v>
      </c>
      <c r="E65" s="178" t="s">
        <v>6</v>
      </c>
      <c r="F65" s="179" t="s">
        <v>59</v>
      </c>
      <c r="G65" s="180">
        <v>1</v>
      </c>
      <c r="H65" s="104">
        <f>H66</f>
        <v>9</v>
      </c>
      <c r="I65" s="223"/>
      <c r="J65" s="105"/>
      <c r="K65" s="181">
        <f>J65</f>
        <v>0</v>
      </c>
      <c r="L65" s="181"/>
      <c r="M65" s="112">
        <f>J65*H65</f>
        <v>0</v>
      </c>
      <c r="N65" s="130">
        <f>M65</f>
        <v>0</v>
      </c>
      <c r="P65" s="182" t="s">
        <v>173</v>
      </c>
      <c r="Z65" s="192"/>
    </row>
    <row r="66" spans="1:26" s="164" customFormat="1" ht="30" outlineLevel="1" x14ac:dyDescent="0.25">
      <c r="A66" s="184" t="s">
        <v>178</v>
      </c>
      <c r="B66" s="185"/>
      <c r="C66" s="186"/>
      <c r="D66" s="187" t="s">
        <v>147</v>
      </c>
      <c r="E66" s="188" t="s">
        <v>90</v>
      </c>
      <c r="F66" s="189" t="s">
        <v>59</v>
      </c>
      <c r="G66" s="190">
        <v>1</v>
      </c>
      <c r="H66" s="103">
        <v>9</v>
      </c>
      <c r="I66" s="224"/>
      <c r="J66" s="106"/>
      <c r="K66" s="191">
        <f>I66</f>
        <v>0</v>
      </c>
      <c r="L66" s="191">
        <f>I66*H66</f>
        <v>0</v>
      </c>
      <c r="M66" s="114"/>
      <c r="N66" s="131">
        <f>L66</f>
        <v>0</v>
      </c>
      <c r="P66" s="132"/>
      <c r="Z66" s="192"/>
    </row>
    <row r="67" spans="1:26" s="164" customFormat="1" outlineLevel="1" x14ac:dyDescent="0.25">
      <c r="A67" s="184" t="s">
        <v>179</v>
      </c>
      <c r="B67" s="193"/>
      <c r="C67" s="194"/>
      <c r="D67" s="195" t="s">
        <v>128</v>
      </c>
      <c r="E67" s="188" t="s">
        <v>90</v>
      </c>
      <c r="F67" s="189" t="s">
        <v>59</v>
      </c>
      <c r="G67" s="190">
        <v>1</v>
      </c>
      <c r="H67" s="103">
        <f>H66</f>
        <v>9</v>
      </c>
      <c r="I67" s="224"/>
      <c r="J67" s="133"/>
      <c r="K67" s="191">
        <f>I67</f>
        <v>0</v>
      </c>
      <c r="L67" s="191">
        <f>I67*H67</f>
        <v>0</v>
      </c>
      <c r="M67" s="114"/>
      <c r="N67" s="131">
        <f>L67</f>
        <v>0</v>
      </c>
      <c r="P67" s="132"/>
      <c r="Z67" s="192"/>
    </row>
    <row r="68" spans="1:26" s="164" customFormat="1" ht="76.5" outlineLevel="1" x14ac:dyDescent="0.25">
      <c r="A68" s="175" t="s">
        <v>180</v>
      </c>
      <c r="B68" s="176"/>
      <c r="C68" s="176"/>
      <c r="D68" s="177" t="s">
        <v>149</v>
      </c>
      <c r="E68" s="178" t="s">
        <v>6</v>
      </c>
      <c r="F68" s="179" t="s">
        <v>89</v>
      </c>
      <c r="G68" s="180"/>
      <c r="H68" s="104">
        <f>20+20+26+26+70+75+23+85+85</f>
        <v>430</v>
      </c>
      <c r="I68" s="223"/>
      <c r="J68" s="105"/>
      <c r="K68" s="181">
        <f>J68</f>
        <v>0</v>
      </c>
      <c r="L68" s="181"/>
      <c r="M68" s="112">
        <f>J68*H68</f>
        <v>0</v>
      </c>
      <c r="N68" s="130">
        <f>M68</f>
        <v>0</v>
      </c>
      <c r="P68" s="182" t="s">
        <v>174</v>
      </c>
      <c r="Z68" s="192"/>
    </row>
    <row r="69" spans="1:26" s="164" customFormat="1" ht="38.25" outlineLevel="1" x14ac:dyDescent="0.25">
      <c r="A69" s="184" t="s">
        <v>181</v>
      </c>
      <c r="B69" s="185"/>
      <c r="C69" s="186"/>
      <c r="D69" s="206" t="s">
        <v>125</v>
      </c>
      <c r="E69" s="188" t="s">
        <v>90</v>
      </c>
      <c r="F69" s="189" t="s">
        <v>89</v>
      </c>
      <c r="G69" s="190">
        <v>1.03</v>
      </c>
      <c r="H69" s="103">
        <f>ROUND((20+20+26+26+70+75+23+85+85)*G69,0)</f>
        <v>443</v>
      </c>
      <c r="I69" s="224"/>
      <c r="J69" s="113"/>
      <c r="K69" s="191">
        <f>I69</f>
        <v>0</v>
      </c>
      <c r="L69" s="191">
        <f>I69*H69</f>
        <v>0</v>
      </c>
      <c r="M69" s="114"/>
      <c r="N69" s="131">
        <f>L69</f>
        <v>0</v>
      </c>
      <c r="P69" s="132"/>
      <c r="Z69" s="192"/>
    </row>
    <row r="70" spans="1:26" s="164" customFormat="1" ht="76.5" outlineLevel="1" x14ac:dyDescent="0.25">
      <c r="A70" s="175" t="s">
        <v>182</v>
      </c>
      <c r="B70" s="176"/>
      <c r="C70" s="176"/>
      <c r="D70" s="177" t="s">
        <v>217</v>
      </c>
      <c r="E70" s="178" t="s">
        <v>6</v>
      </c>
      <c r="F70" s="179" t="s">
        <v>89</v>
      </c>
      <c r="G70" s="180"/>
      <c r="H70" s="104">
        <f>25+26+30+33+26+20+15+13+14</f>
        <v>202</v>
      </c>
      <c r="I70" s="223"/>
      <c r="J70" s="105"/>
      <c r="K70" s="181">
        <f>J70</f>
        <v>0</v>
      </c>
      <c r="L70" s="181"/>
      <c r="M70" s="112">
        <f>J70*H70</f>
        <v>0</v>
      </c>
      <c r="N70" s="130">
        <f>M70</f>
        <v>0</v>
      </c>
      <c r="P70" s="182" t="s">
        <v>174</v>
      </c>
      <c r="Z70" s="192"/>
    </row>
    <row r="71" spans="1:26" s="164" customFormat="1" ht="38.25" outlineLevel="1" x14ac:dyDescent="0.25">
      <c r="A71" s="184" t="s">
        <v>183</v>
      </c>
      <c r="B71" s="185"/>
      <c r="C71" s="186"/>
      <c r="D71" s="206" t="s">
        <v>125</v>
      </c>
      <c r="E71" s="188" t="s">
        <v>90</v>
      </c>
      <c r="F71" s="189" t="s">
        <v>89</v>
      </c>
      <c r="G71" s="190">
        <v>1.03</v>
      </c>
      <c r="H71" s="103">
        <f>ROUND((25+26+30+33+26+20+15+13+14)*G71,0)</f>
        <v>208</v>
      </c>
      <c r="I71" s="224"/>
      <c r="J71" s="113"/>
      <c r="K71" s="191">
        <f>I71</f>
        <v>0</v>
      </c>
      <c r="L71" s="191">
        <f>I71*H71</f>
        <v>0</v>
      </c>
      <c r="M71" s="114"/>
      <c r="N71" s="131">
        <f>L71</f>
        <v>0</v>
      </c>
      <c r="P71" s="132"/>
      <c r="Z71" s="192"/>
    </row>
    <row r="72" spans="1:26" s="164" customFormat="1" outlineLevel="1" x14ac:dyDescent="0.25">
      <c r="A72" s="184" t="s">
        <v>184</v>
      </c>
      <c r="B72" s="193"/>
      <c r="C72" s="194"/>
      <c r="D72" s="195" t="s">
        <v>127</v>
      </c>
      <c r="E72" s="188" t="s">
        <v>90</v>
      </c>
      <c r="F72" s="189" t="s">
        <v>89</v>
      </c>
      <c r="G72" s="190">
        <v>1.1000000000000001</v>
      </c>
      <c r="H72" s="103">
        <f>ROUND((202)*G72,0)</f>
        <v>222</v>
      </c>
      <c r="I72" s="224"/>
      <c r="J72" s="133"/>
      <c r="K72" s="191">
        <f t="shared" ref="K72" si="9">I72</f>
        <v>0</v>
      </c>
      <c r="L72" s="191">
        <f t="shared" ref="L72" si="10">I72*H72</f>
        <v>0</v>
      </c>
      <c r="M72" s="114"/>
      <c r="N72" s="131">
        <f t="shared" ref="N72" si="11">L72</f>
        <v>0</v>
      </c>
      <c r="P72" s="132"/>
      <c r="Z72" s="192"/>
    </row>
    <row r="73" spans="1:26" s="164" customFormat="1" x14ac:dyDescent="0.25">
      <c r="A73" s="165"/>
      <c r="B73" s="166"/>
      <c r="C73" s="115"/>
      <c r="D73" s="143" t="s">
        <v>204</v>
      </c>
      <c r="E73" s="107"/>
      <c r="F73" s="107"/>
      <c r="G73" s="107"/>
      <c r="H73" s="108"/>
      <c r="I73" s="250"/>
      <c r="J73" s="251"/>
      <c r="K73" s="110"/>
      <c r="L73" s="119"/>
      <c r="M73" s="119"/>
      <c r="N73" s="119"/>
      <c r="P73" s="167"/>
    </row>
    <row r="74" spans="1:26" s="164" customFormat="1" ht="12.75" x14ac:dyDescent="0.25">
      <c r="A74" s="168">
        <v>4</v>
      </c>
      <c r="B74" s="169"/>
      <c r="C74" s="169"/>
      <c r="D74" s="170" t="s">
        <v>155</v>
      </c>
      <c r="E74" s="125"/>
      <c r="F74" s="171"/>
      <c r="G74" s="172"/>
      <c r="H74" s="128"/>
      <c r="I74" s="252"/>
      <c r="J74" s="126"/>
      <c r="K74" s="173"/>
      <c r="L74" s="173"/>
      <c r="M74" s="127"/>
      <c r="N74" s="129"/>
      <c r="P74" s="174"/>
    </row>
    <row r="75" spans="1:26" s="164" customFormat="1" outlineLevel="1" x14ac:dyDescent="0.25">
      <c r="A75" s="175" t="s">
        <v>213</v>
      </c>
      <c r="B75" s="176" t="s">
        <v>129</v>
      </c>
      <c r="C75" s="176"/>
      <c r="D75" s="177" t="s">
        <v>130</v>
      </c>
      <c r="E75" s="178" t="s">
        <v>6</v>
      </c>
      <c r="F75" s="179" t="s">
        <v>59</v>
      </c>
      <c r="G75" s="180"/>
      <c r="H75" s="104">
        <f>H76</f>
        <v>7</v>
      </c>
      <c r="I75" s="223"/>
      <c r="J75" s="105"/>
      <c r="K75" s="181">
        <f>J75</f>
        <v>0</v>
      </c>
      <c r="L75" s="181"/>
      <c r="M75" s="112">
        <f>J75*H75</f>
        <v>0</v>
      </c>
      <c r="N75" s="130">
        <f>M75</f>
        <v>0</v>
      </c>
      <c r="P75" s="182" t="s">
        <v>173</v>
      </c>
      <c r="U75" s="249"/>
    </row>
    <row r="76" spans="1:26" s="164" customFormat="1" outlineLevel="1" x14ac:dyDescent="0.25">
      <c r="A76" s="184" t="s">
        <v>208</v>
      </c>
      <c r="B76" s="185"/>
      <c r="C76" s="186"/>
      <c r="D76" s="187" t="s">
        <v>107</v>
      </c>
      <c r="E76" s="188" t="s">
        <v>90</v>
      </c>
      <c r="F76" s="189" t="s">
        <v>59</v>
      </c>
      <c r="G76" s="190">
        <v>1</v>
      </c>
      <c r="H76" s="103">
        <f>1+4+2</f>
        <v>7</v>
      </c>
      <c r="I76" s="224"/>
      <c r="J76" s="106"/>
      <c r="K76" s="191">
        <f>I76</f>
        <v>0</v>
      </c>
      <c r="L76" s="191">
        <f>I76*H76</f>
        <v>0</v>
      </c>
      <c r="M76" s="114"/>
      <c r="N76" s="131">
        <f>L76</f>
        <v>0</v>
      </c>
      <c r="P76" s="111"/>
      <c r="Z76" s="192"/>
    </row>
    <row r="77" spans="1:26" s="164" customFormat="1" outlineLevel="1" x14ac:dyDescent="0.25">
      <c r="A77" s="184" t="s">
        <v>209</v>
      </c>
      <c r="B77" s="193"/>
      <c r="C77" s="194"/>
      <c r="D77" s="195" t="s">
        <v>128</v>
      </c>
      <c r="E77" s="188" t="s">
        <v>90</v>
      </c>
      <c r="F77" s="189" t="s">
        <v>59</v>
      </c>
      <c r="G77" s="190">
        <v>1</v>
      </c>
      <c r="H77" s="103">
        <f>H76</f>
        <v>7</v>
      </c>
      <c r="I77" s="224"/>
      <c r="J77" s="133"/>
      <c r="K77" s="191">
        <f>I77</f>
        <v>0</v>
      </c>
      <c r="L77" s="191">
        <f>I77*H77</f>
        <v>0</v>
      </c>
      <c r="M77" s="114"/>
      <c r="N77" s="131">
        <f>L77</f>
        <v>0</v>
      </c>
      <c r="P77" s="132"/>
      <c r="Z77" s="192"/>
    </row>
    <row r="78" spans="1:26" s="164" customFormat="1" ht="12.75" outlineLevel="1" x14ac:dyDescent="0.25">
      <c r="A78" s="175" t="s">
        <v>220</v>
      </c>
      <c r="B78" s="176" t="s">
        <v>131</v>
      </c>
      <c r="C78" s="176"/>
      <c r="D78" s="177" t="s">
        <v>88</v>
      </c>
      <c r="E78" s="178" t="s">
        <v>6</v>
      </c>
      <c r="F78" s="179" t="s">
        <v>59</v>
      </c>
      <c r="G78" s="180"/>
      <c r="H78" s="104">
        <f>H79</f>
        <v>4</v>
      </c>
      <c r="I78" s="223"/>
      <c r="J78" s="225"/>
      <c r="K78" s="181">
        <f>J78</f>
        <v>0</v>
      </c>
      <c r="L78" s="181"/>
      <c r="M78" s="112">
        <f>J78*H78</f>
        <v>0</v>
      </c>
      <c r="N78" s="130">
        <f>M78</f>
        <v>0</v>
      </c>
      <c r="P78" s="182" t="s">
        <v>173</v>
      </c>
      <c r="Z78" s="192"/>
    </row>
    <row r="79" spans="1:26" s="164" customFormat="1" outlineLevel="1" x14ac:dyDescent="0.25">
      <c r="A79" s="198" t="s">
        <v>221</v>
      </c>
      <c r="B79" s="193"/>
      <c r="C79" s="194"/>
      <c r="D79" s="199" t="s">
        <v>132</v>
      </c>
      <c r="E79" s="188" t="s">
        <v>90</v>
      </c>
      <c r="F79" s="189" t="s">
        <v>59</v>
      </c>
      <c r="G79" s="190">
        <v>1</v>
      </c>
      <c r="H79" s="103">
        <f>2*2</f>
        <v>4</v>
      </c>
      <c r="I79" s="224"/>
      <c r="J79" s="113"/>
      <c r="K79" s="191">
        <f>I79</f>
        <v>0</v>
      </c>
      <c r="L79" s="191">
        <f>I79*H79</f>
        <v>0</v>
      </c>
      <c r="M79" s="114"/>
      <c r="N79" s="131">
        <f>L79</f>
        <v>0</v>
      </c>
      <c r="P79" s="132"/>
      <c r="Z79" s="192"/>
    </row>
    <row r="80" spans="1:26" s="164" customFormat="1" ht="12.75" outlineLevel="1" x14ac:dyDescent="0.25">
      <c r="A80" s="175" t="s">
        <v>210</v>
      </c>
      <c r="B80" s="176" t="s">
        <v>134</v>
      </c>
      <c r="C80" s="176"/>
      <c r="D80" s="177" t="s">
        <v>133</v>
      </c>
      <c r="E80" s="178" t="s">
        <v>6</v>
      </c>
      <c r="F80" s="179" t="s">
        <v>59</v>
      </c>
      <c r="G80" s="180"/>
      <c r="H80" s="104">
        <f>H81</f>
        <v>4</v>
      </c>
      <c r="I80" s="223"/>
      <c r="J80" s="225"/>
      <c r="K80" s="181">
        <f>J80</f>
        <v>0</v>
      </c>
      <c r="L80" s="181"/>
      <c r="M80" s="112">
        <f>J80*H80</f>
        <v>0</v>
      </c>
      <c r="N80" s="130">
        <f>M80</f>
        <v>0</v>
      </c>
      <c r="P80" s="182" t="s">
        <v>173</v>
      </c>
      <c r="Z80" s="192"/>
    </row>
    <row r="81" spans="1:26" s="164" customFormat="1" outlineLevel="1" x14ac:dyDescent="0.25">
      <c r="A81" s="198" t="s">
        <v>211</v>
      </c>
      <c r="B81" s="193"/>
      <c r="C81" s="194"/>
      <c r="D81" s="199" t="s">
        <v>135</v>
      </c>
      <c r="E81" s="188" t="s">
        <v>90</v>
      </c>
      <c r="F81" s="200" t="s">
        <v>59</v>
      </c>
      <c r="G81" s="190"/>
      <c r="H81" s="103">
        <f>2*2</f>
        <v>4</v>
      </c>
      <c r="I81" s="224"/>
      <c r="J81" s="133"/>
      <c r="K81" s="191">
        <f>I81</f>
        <v>0</v>
      </c>
      <c r="L81" s="191">
        <f>I81*H81</f>
        <v>0</v>
      </c>
      <c r="M81" s="114"/>
      <c r="N81" s="131">
        <f>L81</f>
        <v>0</v>
      </c>
      <c r="P81" s="132"/>
      <c r="Z81" s="192"/>
    </row>
    <row r="82" spans="1:26" s="164" customFormat="1" ht="12.75" outlineLevel="1" x14ac:dyDescent="0.25">
      <c r="A82" s="175" t="s">
        <v>212</v>
      </c>
      <c r="B82" s="176" t="s">
        <v>109</v>
      </c>
      <c r="C82" s="176"/>
      <c r="D82" s="177" t="s">
        <v>108</v>
      </c>
      <c r="E82" s="178" t="s">
        <v>6</v>
      </c>
      <c r="F82" s="179" t="s">
        <v>59</v>
      </c>
      <c r="G82" s="180"/>
      <c r="H82" s="104">
        <v>1</v>
      </c>
      <c r="I82" s="223"/>
      <c r="J82" s="225"/>
      <c r="K82" s="181">
        <f>J82</f>
        <v>0</v>
      </c>
      <c r="L82" s="181"/>
      <c r="M82" s="112">
        <f>J82*H82</f>
        <v>0</v>
      </c>
      <c r="N82" s="130">
        <f>M82</f>
        <v>0</v>
      </c>
      <c r="P82" s="182" t="s">
        <v>173</v>
      </c>
      <c r="Z82" s="192"/>
    </row>
    <row r="83" spans="1:26" s="164" customFormat="1" ht="30" outlineLevel="1" x14ac:dyDescent="0.25">
      <c r="A83" s="201" t="s">
        <v>214</v>
      </c>
      <c r="B83" s="202"/>
      <c r="C83" s="202"/>
      <c r="D83" s="203" t="s">
        <v>302</v>
      </c>
      <c r="E83" s="188" t="s">
        <v>90</v>
      </c>
      <c r="F83" s="204" t="s">
        <v>91</v>
      </c>
      <c r="G83" s="205">
        <v>1</v>
      </c>
      <c r="H83" s="138">
        <v>1</v>
      </c>
      <c r="I83" s="226"/>
      <c r="J83" s="227"/>
      <c r="K83" s="191">
        <f t="shared" ref="K83" si="12">I83</f>
        <v>0</v>
      </c>
      <c r="L83" s="191">
        <f t="shared" ref="L83" si="13">I83*H83</f>
        <v>0</v>
      </c>
      <c r="M83" s="114"/>
      <c r="N83" s="131">
        <f t="shared" ref="N83" si="14">L83</f>
        <v>0</v>
      </c>
      <c r="P83" s="137"/>
      <c r="Z83" s="192"/>
    </row>
    <row r="84" spans="1:26" s="164" customFormat="1" outlineLevel="1" x14ac:dyDescent="0.25">
      <c r="A84" s="184" t="s">
        <v>215</v>
      </c>
      <c r="B84" s="185"/>
      <c r="C84" s="186"/>
      <c r="D84" s="203" t="s">
        <v>144</v>
      </c>
      <c r="E84" s="188" t="s">
        <v>90</v>
      </c>
      <c r="F84" s="189" t="s">
        <v>59</v>
      </c>
      <c r="G84" s="190">
        <v>1</v>
      </c>
      <c r="H84" s="103">
        <v>1</v>
      </c>
      <c r="I84" s="224"/>
      <c r="J84" s="113"/>
      <c r="K84" s="191"/>
      <c r="L84" s="191"/>
      <c r="M84" s="114"/>
      <c r="N84" s="131"/>
      <c r="P84" s="111"/>
      <c r="Z84" s="192"/>
    </row>
    <row r="85" spans="1:26" s="164" customFormat="1" outlineLevel="1" x14ac:dyDescent="0.25">
      <c r="A85" s="201" t="s">
        <v>222</v>
      </c>
      <c r="B85" s="193"/>
      <c r="C85" s="194"/>
      <c r="D85" s="203" t="s">
        <v>111</v>
      </c>
      <c r="E85" s="188" t="s">
        <v>90</v>
      </c>
      <c r="F85" s="189" t="s">
        <v>59</v>
      </c>
      <c r="G85" s="190">
        <v>1</v>
      </c>
      <c r="H85" s="103">
        <v>1</v>
      </c>
      <c r="I85" s="135"/>
      <c r="J85" s="196"/>
      <c r="K85" s="191"/>
      <c r="L85" s="196"/>
      <c r="M85" s="134"/>
      <c r="N85" s="136"/>
      <c r="P85" s="132"/>
      <c r="Z85" s="192"/>
    </row>
    <row r="86" spans="1:26" s="164" customFormat="1" outlineLevel="1" x14ac:dyDescent="0.25">
      <c r="A86" s="184" t="s">
        <v>223</v>
      </c>
      <c r="B86" s="193"/>
      <c r="C86" s="194"/>
      <c r="D86" s="203" t="s">
        <v>112</v>
      </c>
      <c r="E86" s="188" t="s">
        <v>90</v>
      </c>
      <c r="F86" s="189" t="s">
        <v>59</v>
      </c>
      <c r="G86" s="190">
        <v>1</v>
      </c>
      <c r="H86" s="103">
        <v>1</v>
      </c>
      <c r="I86" s="135"/>
      <c r="J86" s="196"/>
      <c r="K86" s="191"/>
      <c r="L86" s="196"/>
      <c r="M86" s="134"/>
      <c r="N86" s="136"/>
      <c r="P86" s="132"/>
      <c r="Z86" s="192"/>
    </row>
    <row r="87" spans="1:26" s="164" customFormat="1" outlineLevel="1" x14ac:dyDescent="0.25">
      <c r="A87" s="201" t="s">
        <v>224</v>
      </c>
      <c r="B87" s="193"/>
      <c r="C87" s="194"/>
      <c r="D87" s="195" t="s">
        <v>113</v>
      </c>
      <c r="E87" s="188" t="s">
        <v>90</v>
      </c>
      <c r="F87" s="189" t="s">
        <v>59</v>
      </c>
      <c r="G87" s="190">
        <v>1</v>
      </c>
      <c r="H87" s="103">
        <v>1</v>
      </c>
      <c r="I87" s="135"/>
      <c r="J87" s="196"/>
      <c r="K87" s="196"/>
      <c r="L87" s="196"/>
      <c r="M87" s="134"/>
      <c r="N87" s="136"/>
      <c r="P87" s="132"/>
      <c r="Z87" s="192"/>
    </row>
    <row r="88" spans="1:26" s="164" customFormat="1" outlineLevel="1" x14ac:dyDescent="0.25">
      <c r="A88" s="184" t="s">
        <v>225</v>
      </c>
      <c r="B88" s="193"/>
      <c r="C88" s="194"/>
      <c r="D88" s="195" t="s">
        <v>114</v>
      </c>
      <c r="E88" s="188" t="s">
        <v>90</v>
      </c>
      <c r="F88" s="189" t="s">
        <v>59</v>
      </c>
      <c r="G88" s="190">
        <v>1</v>
      </c>
      <c r="H88" s="103">
        <v>3</v>
      </c>
      <c r="I88" s="135"/>
      <c r="J88" s="196"/>
      <c r="K88" s="196"/>
      <c r="L88" s="196"/>
      <c r="M88" s="134"/>
      <c r="N88" s="136"/>
      <c r="P88" s="132"/>
      <c r="Z88" s="192"/>
    </row>
    <row r="89" spans="1:26" s="164" customFormat="1" outlineLevel="1" x14ac:dyDescent="0.25">
      <c r="A89" s="201" t="s">
        <v>226</v>
      </c>
      <c r="B89" s="193"/>
      <c r="C89" s="194"/>
      <c r="D89" s="195" t="s">
        <v>115</v>
      </c>
      <c r="E89" s="188" t="s">
        <v>90</v>
      </c>
      <c r="F89" s="189" t="s">
        <v>59</v>
      </c>
      <c r="G89" s="190">
        <v>1</v>
      </c>
      <c r="H89" s="103">
        <v>1</v>
      </c>
      <c r="I89" s="135"/>
      <c r="J89" s="196"/>
      <c r="K89" s="196"/>
      <c r="L89" s="196"/>
      <c r="M89" s="134"/>
      <c r="N89" s="136"/>
      <c r="P89" s="132"/>
      <c r="Z89" s="192"/>
    </row>
    <row r="90" spans="1:26" s="164" customFormat="1" outlineLevel="1" x14ac:dyDescent="0.25">
      <c r="A90" s="184" t="s">
        <v>227</v>
      </c>
      <c r="B90" s="193"/>
      <c r="C90" s="194"/>
      <c r="D90" s="195" t="s">
        <v>116</v>
      </c>
      <c r="E90" s="188" t="s">
        <v>90</v>
      </c>
      <c r="F90" s="189" t="s">
        <v>59</v>
      </c>
      <c r="G90" s="190">
        <v>1</v>
      </c>
      <c r="H90" s="103">
        <v>1</v>
      </c>
      <c r="I90" s="135"/>
      <c r="J90" s="196"/>
      <c r="K90" s="196"/>
      <c r="L90" s="196"/>
      <c r="M90" s="134"/>
      <c r="N90" s="136"/>
      <c r="P90" s="132"/>
      <c r="Z90" s="192"/>
    </row>
    <row r="91" spans="1:26" s="164" customFormat="1" outlineLevel="1" x14ac:dyDescent="0.25">
      <c r="A91" s="201" t="s">
        <v>228</v>
      </c>
      <c r="B91" s="193"/>
      <c r="C91" s="194"/>
      <c r="D91" s="195" t="s">
        <v>117</v>
      </c>
      <c r="E91" s="188" t="s">
        <v>90</v>
      </c>
      <c r="F91" s="189" t="s">
        <v>59</v>
      </c>
      <c r="G91" s="190">
        <v>1</v>
      </c>
      <c r="H91" s="103">
        <v>1</v>
      </c>
      <c r="I91" s="135"/>
      <c r="J91" s="196"/>
      <c r="K91" s="196"/>
      <c r="L91" s="196"/>
      <c r="M91" s="134"/>
      <c r="N91" s="136"/>
      <c r="P91" s="132"/>
      <c r="Z91" s="192"/>
    </row>
    <row r="92" spans="1:26" s="164" customFormat="1" outlineLevel="1" x14ac:dyDescent="0.25">
      <c r="A92" s="184" t="s">
        <v>229</v>
      </c>
      <c r="B92" s="193"/>
      <c r="C92" s="194"/>
      <c r="D92" s="195" t="s">
        <v>118</v>
      </c>
      <c r="E92" s="188" t="s">
        <v>90</v>
      </c>
      <c r="F92" s="189" t="s">
        <v>59</v>
      </c>
      <c r="G92" s="190">
        <v>1</v>
      </c>
      <c r="H92" s="103">
        <v>2</v>
      </c>
      <c r="I92" s="135"/>
      <c r="J92" s="196"/>
      <c r="K92" s="196"/>
      <c r="L92" s="196"/>
      <c r="M92" s="134"/>
      <c r="N92" s="136"/>
      <c r="P92" s="132"/>
      <c r="Z92" s="192"/>
    </row>
    <row r="93" spans="1:26" s="164" customFormat="1" outlineLevel="1" x14ac:dyDescent="0.25">
      <c r="A93" s="201" t="s">
        <v>230</v>
      </c>
      <c r="B93" s="193"/>
      <c r="C93" s="194"/>
      <c r="D93" s="195" t="s">
        <v>119</v>
      </c>
      <c r="E93" s="188" t="s">
        <v>90</v>
      </c>
      <c r="F93" s="189" t="s">
        <v>59</v>
      </c>
      <c r="G93" s="190">
        <v>1</v>
      </c>
      <c r="H93" s="103">
        <v>1</v>
      </c>
      <c r="I93" s="135"/>
      <c r="J93" s="196"/>
      <c r="K93" s="196"/>
      <c r="L93" s="196"/>
      <c r="M93" s="134"/>
      <c r="N93" s="136"/>
      <c r="P93" s="132"/>
      <c r="Z93" s="192"/>
    </row>
    <row r="94" spans="1:26" s="164" customFormat="1" outlineLevel="1" x14ac:dyDescent="0.25">
      <c r="A94" s="184" t="s">
        <v>231</v>
      </c>
      <c r="B94" s="193"/>
      <c r="C94" s="194"/>
      <c r="D94" s="195" t="s">
        <v>120</v>
      </c>
      <c r="E94" s="188" t="s">
        <v>90</v>
      </c>
      <c r="F94" s="189" t="s">
        <v>59</v>
      </c>
      <c r="G94" s="190">
        <v>1</v>
      </c>
      <c r="H94" s="103">
        <v>1</v>
      </c>
      <c r="I94" s="135"/>
      <c r="J94" s="196"/>
      <c r="K94" s="196"/>
      <c r="L94" s="196"/>
      <c r="M94" s="134"/>
      <c r="N94" s="136"/>
      <c r="P94" s="132"/>
      <c r="Z94" s="192"/>
    </row>
    <row r="95" spans="1:26" s="164" customFormat="1" outlineLevel="1" x14ac:dyDescent="0.25">
      <c r="A95" s="201" t="s">
        <v>232</v>
      </c>
      <c r="B95" s="193"/>
      <c r="C95" s="194"/>
      <c r="D95" s="195" t="s">
        <v>121</v>
      </c>
      <c r="E95" s="188" t="s">
        <v>90</v>
      </c>
      <c r="F95" s="189" t="s">
        <v>59</v>
      </c>
      <c r="G95" s="190">
        <v>1</v>
      </c>
      <c r="H95" s="103">
        <v>1</v>
      </c>
      <c r="I95" s="135"/>
      <c r="J95" s="196"/>
      <c r="K95" s="196"/>
      <c r="L95" s="196"/>
      <c r="M95" s="134"/>
      <c r="N95" s="136"/>
      <c r="P95" s="132"/>
      <c r="Z95" s="192"/>
    </row>
    <row r="96" spans="1:26" s="164" customFormat="1" outlineLevel="1" x14ac:dyDescent="0.25">
      <c r="A96" s="184" t="s">
        <v>233</v>
      </c>
      <c r="B96" s="193"/>
      <c r="C96" s="194"/>
      <c r="D96" s="195" t="s">
        <v>122</v>
      </c>
      <c r="E96" s="188" t="s">
        <v>90</v>
      </c>
      <c r="F96" s="189" t="s">
        <v>59</v>
      </c>
      <c r="G96" s="190">
        <v>1</v>
      </c>
      <c r="H96" s="103">
        <v>5</v>
      </c>
      <c r="I96" s="135"/>
      <c r="J96" s="196"/>
      <c r="K96" s="196"/>
      <c r="L96" s="196"/>
      <c r="M96" s="134"/>
      <c r="N96" s="136"/>
      <c r="P96" s="132"/>
      <c r="Z96" s="192"/>
    </row>
    <row r="97" spans="1:26" s="164" customFormat="1" outlineLevel="1" x14ac:dyDescent="0.25">
      <c r="A97" s="201" t="s">
        <v>234</v>
      </c>
      <c r="B97" s="193"/>
      <c r="C97" s="194"/>
      <c r="D97" s="195" t="s">
        <v>123</v>
      </c>
      <c r="E97" s="188" t="s">
        <v>90</v>
      </c>
      <c r="F97" s="189" t="s">
        <v>59</v>
      </c>
      <c r="G97" s="190">
        <v>1</v>
      </c>
      <c r="H97" s="103">
        <v>1</v>
      </c>
      <c r="I97" s="135"/>
      <c r="J97" s="196"/>
      <c r="K97" s="196"/>
      <c r="L97" s="196"/>
      <c r="M97" s="134"/>
      <c r="N97" s="136"/>
      <c r="P97" s="132"/>
      <c r="Z97" s="192"/>
    </row>
    <row r="98" spans="1:26" s="164" customFormat="1" ht="76.5" outlineLevel="1" x14ac:dyDescent="0.25">
      <c r="A98" s="175" t="s">
        <v>216</v>
      </c>
      <c r="B98" s="176" t="s">
        <v>124</v>
      </c>
      <c r="C98" s="176"/>
      <c r="D98" s="177" t="s">
        <v>149</v>
      </c>
      <c r="E98" s="178" t="s">
        <v>6</v>
      </c>
      <c r="F98" s="179" t="s">
        <v>89</v>
      </c>
      <c r="G98" s="180"/>
      <c r="H98" s="104">
        <f>14+16*5+22+22</f>
        <v>138</v>
      </c>
      <c r="I98" s="223"/>
      <c r="J98" s="105"/>
      <c r="K98" s="181">
        <f>J98</f>
        <v>0</v>
      </c>
      <c r="L98" s="181"/>
      <c r="M98" s="112">
        <f>J98*H98</f>
        <v>0</v>
      </c>
      <c r="N98" s="130">
        <f>M98</f>
        <v>0</v>
      </c>
      <c r="P98" s="182" t="s">
        <v>174</v>
      </c>
      <c r="Z98" s="192"/>
    </row>
    <row r="99" spans="1:26" s="164" customFormat="1" ht="38.25" outlineLevel="1" x14ac:dyDescent="0.25">
      <c r="A99" s="184" t="s">
        <v>235</v>
      </c>
      <c r="B99" s="185"/>
      <c r="C99" s="186"/>
      <c r="D99" s="206" t="s">
        <v>125</v>
      </c>
      <c r="E99" s="188" t="s">
        <v>90</v>
      </c>
      <c r="F99" s="189" t="s">
        <v>89</v>
      </c>
      <c r="G99" s="190">
        <v>1.03</v>
      </c>
      <c r="H99" s="103">
        <f>ROUND((14+16*5+22+22)*G99,0)</f>
        <v>142</v>
      </c>
      <c r="I99" s="224"/>
      <c r="J99" s="113"/>
      <c r="K99" s="191">
        <f>I99</f>
        <v>0</v>
      </c>
      <c r="L99" s="191">
        <f>I99*H99</f>
        <v>0</v>
      </c>
      <c r="M99" s="114"/>
      <c r="N99" s="131">
        <f>L99</f>
        <v>0</v>
      </c>
      <c r="P99" s="132"/>
      <c r="Z99" s="192"/>
    </row>
    <row r="100" spans="1:26" s="164" customFormat="1" ht="76.5" outlineLevel="1" x14ac:dyDescent="0.25">
      <c r="A100" s="175" t="s">
        <v>236</v>
      </c>
      <c r="B100" s="176" t="s">
        <v>124</v>
      </c>
      <c r="C100" s="176"/>
      <c r="D100" s="177" t="s">
        <v>217</v>
      </c>
      <c r="E100" s="178" t="s">
        <v>6</v>
      </c>
      <c r="F100" s="179" t="s">
        <v>89</v>
      </c>
      <c r="G100" s="180"/>
      <c r="H100" s="104">
        <v>323</v>
      </c>
      <c r="I100" s="223"/>
      <c r="J100" s="105"/>
      <c r="K100" s="181">
        <f>J100</f>
        <v>0</v>
      </c>
      <c r="L100" s="181"/>
      <c r="M100" s="112">
        <f>J100*H100</f>
        <v>0</v>
      </c>
      <c r="N100" s="130">
        <f>M100</f>
        <v>0</v>
      </c>
      <c r="P100" s="182" t="s">
        <v>174</v>
      </c>
      <c r="Z100" s="192"/>
    </row>
    <row r="101" spans="1:26" s="164" customFormat="1" ht="38.25" outlineLevel="1" x14ac:dyDescent="0.25">
      <c r="A101" s="184" t="s">
        <v>237</v>
      </c>
      <c r="B101" s="185"/>
      <c r="C101" s="186"/>
      <c r="D101" s="206" t="s">
        <v>125</v>
      </c>
      <c r="E101" s="188" t="s">
        <v>90</v>
      </c>
      <c r="F101" s="189" t="s">
        <v>89</v>
      </c>
      <c r="G101" s="190">
        <v>1.03</v>
      </c>
      <c r="H101" s="103">
        <f>ROUND((5+25+16+13+14+17+22+27)*G101,0)</f>
        <v>143</v>
      </c>
      <c r="I101" s="224"/>
      <c r="J101" s="113"/>
      <c r="K101" s="191">
        <f>I101</f>
        <v>0</v>
      </c>
      <c r="L101" s="191">
        <f>I101*H101</f>
        <v>0</v>
      </c>
      <c r="M101" s="114"/>
      <c r="N101" s="131">
        <f>L101</f>
        <v>0</v>
      </c>
      <c r="P101" s="132"/>
      <c r="Z101" s="192"/>
    </row>
    <row r="102" spans="1:26" s="164" customFormat="1" ht="30" outlineLevel="1" x14ac:dyDescent="0.25">
      <c r="A102" s="184" t="s">
        <v>238</v>
      </c>
      <c r="B102" s="185"/>
      <c r="C102" s="186"/>
      <c r="D102" s="207" t="s">
        <v>126</v>
      </c>
      <c r="E102" s="188" t="s">
        <v>90</v>
      </c>
      <c r="F102" s="189" t="s">
        <v>89</v>
      </c>
      <c r="G102" s="190">
        <v>1.03</v>
      </c>
      <c r="H102" s="103">
        <f>ROUND(184*G102,0)</f>
        <v>190</v>
      </c>
      <c r="I102" s="224"/>
      <c r="J102" s="113"/>
      <c r="K102" s="191">
        <f>I102</f>
        <v>0</v>
      </c>
      <c r="L102" s="191">
        <f t="shared" ref="L102:L103" si="15">I102*H102</f>
        <v>0</v>
      </c>
      <c r="M102" s="114"/>
      <c r="N102" s="131">
        <f t="shared" ref="N102:N103" si="16">L102</f>
        <v>0</v>
      </c>
      <c r="P102" s="132"/>
      <c r="Z102" s="192"/>
    </row>
    <row r="103" spans="1:26" s="164" customFormat="1" outlineLevel="1" x14ac:dyDescent="0.25">
      <c r="A103" s="184" t="s">
        <v>239</v>
      </c>
      <c r="B103" s="193"/>
      <c r="C103" s="194"/>
      <c r="D103" s="195" t="s">
        <v>127</v>
      </c>
      <c r="E103" s="188" t="s">
        <v>90</v>
      </c>
      <c r="F103" s="189" t="s">
        <v>89</v>
      </c>
      <c r="G103" s="190">
        <v>1.1000000000000001</v>
      </c>
      <c r="H103" s="103">
        <f>ROUND(323*G103,0)</f>
        <v>355</v>
      </c>
      <c r="I103" s="224"/>
      <c r="J103" s="133"/>
      <c r="K103" s="191">
        <f t="shared" ref="K103" si="17">I103</f>
        <v>0</v>
      </c>
      <c r="L103" s="191">
        <f t="shared" si="15"/>
        <v>0</v>
      </c>
      <c r="M103" s="114"/>
      <c r="N103" s="131">
        <f t="shared" si="16"/>
        <v>0</v>
      </c>
      <c r="P103" s="132"/>
      <c r="Z103" s="192"/>
    </row>
    <row r="104" spans="1:26" s="164" customFormat="1" ht="76.5" outlineLevel="1" x14ac:dyDescent="0.25">
      <c r="A104" s="175" t="s">
        <v>240</v>
      </c>
      <c r="B104" s="176" t="s">
        <v>124</v>
      </c>
      <c r="C104" s="176"/>
      <c r="D104" s="177" t="s">
        <v>150</v>
      </c>
      <c r="E104" s="178" t="s">
        <v>6</v>
      </c>
      <c r="F104" s="179" t="s">
        <v>89</v>
      </c>
      <c r="G104" s="180"/>
      <c r="H104" s="104">
        <f>4*4+98*2</f>
        <v>212</v>
      </c>
      <c r="I104" s="223"/>
      <c r="J104" s="105"/>
      <c r="K104" s="181">
        <f>J104</f>
        <v>0</v>
      </c>
      <c r="L104" s="181"/>
      <c r="M104" s="112">
        <f>J104*H104</f>
        <v>0</v>
      </c>
      <c r="N104" s="130">
        <f>M104</f>
        <v>0</v>
      </c>
      <c r="P104" s="182" t="s">
        <v>174</v>
      </c>
      <c r="Z104" s="192"/>
    </row>
    <row r="105" spans="1:26" s="164" customFormat="1" ht="38.25" outlineLevel="1" x14ac:dyDescent="0.25">
      <c r="A105" s="184" t="s">
        <v>241</v>
      </c>
      <c r="B105" s="185"/>
      <c r="C105" s="186"/>
      <c r="D105" s="206" t="s">
        <v>125</v>
      </c>
      <c r="E105" s="188" t="s">
        <v>90</v>
      </c>
      <c r="F105" s="189" t="s">
        <v>89</v>
      </c>
      <c r="G105" s="190">
        <v>1.03</v>
      </c>
      <c r="H105" s="142">
        <f>ROUND((4*4+98*2)*G105,0)</f>
        <v>218</v>
      </c>
      <c r="I105" s="224"/>
      <c r="J105" s="113"/>
      <c r="K105" s="191">
        <f>I105</f>
        <v>0</v>
      </c>
      <c r="L105" s="191">
        <f>I105*H105</f>
        <v>0</v>
      </c>
      <c r="M105" s="114"/>
      <c r="N105" s="131">
        <f>L105</f>
        <v>0</v>
      </c>
      <c r="P105" s="132"/>
      <c r="Z105" s="192"/>
    </row>
    <row r="106" spans="1:26" s="164" customFormat="1" x14ac:dyDescent="0.25">
      <c r="A106" s="165"/>
      <c r="B106" s="166"/>
      <c r="C106" s="115"/>
      <c r="D106" s="143" t="s">
        <v>205</v>
      </c>
      <c r="E106" s="107"/>
      <c r="F106" s="107"/>
      <c r="G106" s="107"/>
      <c r="H106" s="108"/>
      <c r="I106" s="250"/>
      <c r="J106" s="251"/>
      <c r="K106" s="110"/>
      <c r="L106" s="119"/>
      <c r="M106" s="119"/>
      <c r="N106" s="119"/>
      <c r="P106" s="197"/>
      <c r="Z106" s="192"/>
    </row>
    <row r="107" spans="1:26" s="164" customFormat="1" ht="12.75" x14ac:dyDescent="0.25">
      <c r="A107" s="168">
        <v>5</v>
      </c>
      <c r="B107" s="169"/>
      <c r="C107" s="169"/>
      <c r="D107" s="170" t="s">
        <v>155</v>
      </c>
      <c r="E107" s="125"/>
      <c r="F107" s="171"/>
      <c r="G107" s="172"/>
      <c r="H107" s="128"/>
      <c r="I107" s="252"/>
      <c r="J107" s="126"/>
      <c r="K107" s="173"/>
      <c r="L107" s="173"/>
      <c r="M107" s="127"/>
      <c r="N107" s="129"/>
      <c r="P107" s="174"/>
      <c r="Z107" s="192"/>
    </row>
    <row r="108" spans="1:26" s="164" customFormat="1" ht="12.75" outlineLevel="1" x14ac:dyDescent="0.25">
      <c r="A108" s="175" t="s">
        <v>242</v>
      </c>
      <c r="B108" s="176" t="s">
        <v>129</v>
      </c>
      <c r="C108" s="176"/>
      <c r="D108" s="177" t="s">
        <v>130</v>
      </c>
      <c r="E108" s="178" t="s">
        <v>6</v>
      </c>
      <c r="F108" s="179" t="s">
        <v>59</v>
      </c>
      <c r="G108" s="180"/>
      <c r="H108" s="104">
        <f>H109</f>
        <v>7</v>
      </c>
      <c r="I108" s="223"/>
      <c r="J108" s="105"/>
      <c r="K108" s="181">
        <f>J108</f>
        <v>0</v>
      </c>
      <c r="L108" s="181"/>
      <c r="M108" s="112">
        <f>J108*H108</f>
        <v>0</v>
      </c>
      <c r="N108" s="130">
        <f>M108</f>
        <v>0</v>
      </c>
      <c r="P108" s="182" t="s">
        <v>173</v>
      </c>
      <c r="Z108" s="192"/>
    </row>
    <row r="109" spans="1:26" s="164" customFormat="1" outlineLevel="1" x14ac:dyDescent="0.25">
      <c r="A109" s="184" t="s">
        <v>243</v>
      </c>
      <c r="B109" s="185"/>
      <c r="C109" s="186"/>
      <c r="D109" s="187" t="s">
        <v>107</v>
      </c>
      <c r="E109" s="188" t="s">
        <v>90</v>
      </c>
      <c r="F109" s="189" t="s">
        <v>59</v>
      </c>
      <c r="G109" s="190">
        <v>1</v>
      </c>
      <c r="H109" s="103">
        <f>1+4+2</f>
        <v>7</v>
      </c>
      <c r="I109" s="224"/>
      <c r="J109" s="106"/>
      <c r="K109" s="191">
        <f>I109</f>
        <v>0</v>
      </c>
      <c r="L109" s="191">
        <f>I109*H109</f>
        <v>0</v>
      </c>
      <c r="M109" s="114"/>
      <c r="N109" s="131">
        <f>L109</f>
        <v>0</v>
      </c>
      <c r="P109" s="111"/>
      <c r="Z109" s="192"/>
    </row>
    <row r="110" spans="1:26" s="164" customFormat="1" outlineLevel="1" x14ac:dyDescent="0.25">
      <c r="A110" s="184" t="s">
        <v>244</v>
      </c>
      <c r="B110" s="193"/>
      <c r="C110" s="194"/>
      <c r="D110" s="195" t="s">
        <v>128</v>
      </c>
      <c r="E110" s="188" t="s">
        <v>90</v>
      </c>
      <c r="F110" s="189" t="s">
        <v>59</v>
      </c>
      <c r="G110" s="190">
        <v>1</v>
      </c>
      <c r="H110" s="103">
        <f>H109</f>
        <v>7</v>
      </c>
      <c r="I110" s="224"/>
      <c r="J110" s="133"/>
      <c r="K110" s="191">
        <f>I110</f>
        <v>0</v>
      </c>
      <c r="L110" s="191">
        <f>I110*H110</f>
        <v>0</v>
      </c>
      <c r="M110" s="114"/>
      <c r="N110" s="131">
        <f>L110</f>
        <v>0</v>
      </c>
      <c r="P110" s="132"/>
      <c r="Z110" s="192"/>
    </row>
    <row r="111" spans="1:26" s="164" customFormat="1" ht="12.75" outlineLevel="1" x14ac:dyDescent="0.25">
      <c r="A111" s="175" t="s">
        <v>245</v>
      </c>
      <c r="B111" s="176" t="s">
        <v>131</v>
      </c>
      <c r="C111" s="176"/>
      <c r="D111" s="177" t="s">
        <v>88</v>
      </c>
      <c r="E111" s="178" t="s">
        <v>6</v>
      </c>
      <c r="F111" s="179" t="s">
        <v>59</v>
      </c>
      <c r="G111" s="180"/>
      <c r="H111" s="104">
        <f>H112</f>
        <v>4</v>
      </c>
      <c r="I111" s="223"/>
      <c r="J111" s="225"/>
      <c r="K111" s="181">
        <f>J111</f>
        <v>0</v>
      </c>
      <c r="L111" s="181"/>
      <c r="M111" s="112">
        <f>J111*H111</f>
        <v>0</v>
      </c>
      <c r="N111" s="130">
        <f>M111</f>
        <v>0</v>
      </c>
      <c r="P111" s="182" t="s">
        <v>173</v>
      </c>
      <c r="Z111" s="192"/>
    </row>
    <row r="112" spans="1:26" s="164" customFormat="1" outlineLevel="1" x14ac:dyDescent="0.25">
      <c r="A112" s="198" t="s">
        <v>246</v>
      </c>
      <c r="B112" s="193"/>
      <c r="C112" s="194"/>
      <c r="D112" s="199" t="s">
        <v>132</v>
      </c>
      <c r="E112" s="188" t="s">
        <v>90</v>
      </c>
      <c r="F112" s="189" t="s">
        <v>59</v>
      </c>
      <c r="G112" s="190">
        <v>1</v>
      </c>
      <c r="H112" s="103">
        <f>2*2</f>
        <v>4</v>
      </c>
      <c r="I112" s="224"/>
      <c r="J112" s="113"/>
      <c r="K112" s="191">
        <f>I112</f>
        <v>0</v>
      </c>
      <c r="L112" s="191">
        <f>I112*H112</f>
        <v>0</v>
      </c>
      <c r="M112" s="114"/>
      <c r="N112" s="131">
        <f>L112</f>
        <v>0</v>
      </c>
      <c r="P112" s="132"/>
      <c r="Z112" s="192"/>
    </row>
    <row r="113" spans="1:26" s="164" customFormat="1" ht="12.75" outlineLevel="1" x14ac:dyDescent="0.25">
      <c r="A113" s="175" t="s">
        <v>247</v>
      </c>
      <c r="B113" s="176" t="s">
        <v>134</v>
      </c>
      <c r="C113" s="176"/>
      <c r="D113" s="177" t="s">
        <v>133</v>
      </c>
      <c r="E113" s="178" t="s">
        <v>6</v>
      </c>
      <c r="F113" s="179" t="s">
        <v>59</v>
      </c>
      <c r="G113" s="180"/>
      <c r="H113" s="104">
        <f>H114</f>
        <v>4</v>
      </c>
      <c r="I113" s="223"/>
      <c r="J113" s="225"/>
      <c r="K113" s="181">
        <f>J113</f>
        <v>0</v>
      </c>
      <c r="L113" s="181"/>
      <c r="M113" s="112">
        <f>J113*H113</f>
        <v>0</v>
      </c>
      <c r="N113" s="130">
        <f>M113</f>
        <v>0</v>
      </c>
      <c r="P113" s="182" t="s">
        <v>173</v>
      </c>
      <c r="Z113" s="192"/>
    </row>
    <row r="114" spans="1:26" s="164" customFormat="1" outlineLevel="1" x14ac:dyDescent="0.25">
      <c r="A114" s="198" t="s">
        <v>248</v>
      </c>
      <c r="B114" s="193"/>
      <c r="C114" s="194"/>
      <c r="D114" s="199" t="s">
        <v>135</v>
      </c>
      <c r="E114" s="188" t="s">
        <v>90</v>
      </c>
      <c r="F114" s="200" t="s">
        <v>59</v>
      </c>
      <c r="G114" s="190">
        <v>1</v>
      </c>
      <c r="H114" s="103">
        <f>2*2</f>
        <v>4</v>
      </c>
      <c r="I114" s="224"/>
      <c r="J114" s="133"/>
      <c r="K114" s="191">
        <f>I114</f>
        <v>0</v>
      </c>
      <c r="L114" s="191">
        <f>I114*H114</f>
        <v>0</v>
      </c>
      <c r="M114" s="114"/>
      <c r="N114" s="131">
        <f>L114</f>
        <v>0</v>
      </c>
      <c r="P114" s="132"/>
      <c r="Z114" s="192"/>
    </row>
    <row r="115" spans="1:26" s="164" customFormat="1" ht="76.5" outlineLevel="1" x14ac:dyDescent="0.25">
      <c r="A115" s="175" t="s">
        <v>249</v>
      </c>
      <c r="B115" s="176" t="s">
        <v>124</v>
      </c>
      <c r="C115" s="176"/>
      <c r="D115" s="177" t="s">
        <v>149</v>
      </c>
      <c r="E115" s="178" t="s">
        <v>6</v>
      </c>
      <c r="F115" s="179" t="s">
        <v>89</v>
      </c>
      <c r="G115" s="180"/>
      <c r="H115" s="104">
        <f>49*7</f>
        <v>343</v>
      </c>
      <c r="I115" s="223"/>
      <c r="J115" s="105"/>
      <c r="K115" s="181">
        <f>J115</f>
        <v>0</v>
      </c>
      <c r="L115" s="181"/>
      <c r="M115" s="112">
        <f>J115*H115</f>
        <v>0</v>
      </c>
      <c r="N115" s="130">
        <f>M115</f>
        <v>0</v>
      </c>
      <c r="P115" s="182" t="s">
        <v>174</v>
      </c>
      <c r="Z115" s="192"/>
    </row>
    <row r="116" spans="1:26" s="164" customFormat="1" ht="38.25" outlineLevel="1" x14ac:dyDescent="0.25">
      <c r="A116" s="184" t="s">
        <v>250</v>
      </c>
      <c r="B116" s="185"/>
      <c r="C116" s="186"/>
      <c r="D116" s="206" t="s">
        <v>125</v>
      </c>
      <c r="E116" s="188" t="s">
        <v>90</v>
      </c>
      <c r="F116" s="189" t="s">
        <v>89</v>
      </c>
      <c r="G116" s="190">
        <v>1.03</v>
      </c>
      <c r="H116" s="103">
        <f>ROUND((49*7)*G116,0)</f>
        <v>353</v>
      </c>
      <c r="I116" s="224"/>
      <c r="J116" s="113"/>
      <c r="K116" s="191">
        <f>I116</f>
        <v>0</v>
      </c>
      <c r="L116" s="191">
        <f>I116*H116</f>
        <v>0</v>
      </c>
      <c r="M116" s="114"/>
      <c r="N116" s="131">
        <f>L116</f>
        <v>0</v>
      </c>
      <c r="P116" s="132"/>
      <c r="Z116" s="192"/>
    </row>
    <row r="117" spans="1:26" s="164" customFormat="1" ht="76.5" outlineLevel="1" x14ac:dyDescent="0.25">
      <c r="A117" s="175" t="s">
        <v>251</v>
      </c>
      <c r="B117" s="176" t="s">
        <v>124</v>
      </c>
      <c r="C117" s="176"/>
      <c r="D117" s="177" t="s">
        <v>217</v>
      </c>
      <c r="E117" s="178" t="s">
        <v>6</v>
      </c>
      <c r="F117" s="179" t="s">
        <v>89</v>
      </c>
      <c r="G117" s="180"/>
      <c r="H117" s="104">
        <v>380</v>
      </c>
      <c r="I117" s="223"/>
      <c r="J117" s="105"/>
      <c r="K117" s="181">
        <f>J117</f>
        <v>0</v>
      </c>
      <c r="L117" s="181"/>
      <c r="M117" s="112">
        <f>J117*H117</f>
        <v>0</v>
      </c>
      <c r="N117" s="130">
        <f>M117</f>
        <v>0</v>
      </c>
      <c r="P117" s="182" t="s">
        <v>174</v>
      </c>
      <c r="Z117" s="192"/>
    </row>
    <row r="118" spans="1:26" s="164" customFormat="1" ht="38.25" outlineLevel="1" x14ac:dyDescent="0.25">
      <c r="A118" s="184" t="s">
        <v>252</v>
      </c>
      <c r="B118" s="185"/>
      <c r="C118" s="186"/>
      <c r="D118" s="206" t="s">
        <v>125</v>
      </c>
      <c r="E118" s="188" t="s">
        <v>90</v>
      </c>
      <c r="F118" s="189" t="s">
        <v>89</v>
      </c>
      <c r="G118" s="190">
        <v>1.03</v>
      </c>
      <c r="H118" s="103">
        <f>ROUND((25+16+17+18+23+30+27)*G118,0)</f>
        <v>161</v>
      </c>
      <c r="I118" s="224"/>
      <c r="J118" s="113"/>
      <c r="K118" s="191">
        <f>I118</f>
        <v>0</v>
      </c>
      <c r="L118" s="191">
        <f>I118*H118</f>
        <v>0</v>
      </c>
      <c r="M118" s="114"/>
      <c r="N118" s="131">
        <f>L118</f>
        <v>0</v>
      </c>
      <c r="P118" s="132"/>
      <c r="Z118" s="192"/>
    </row>
    <row r="119" spans="1:26" s="164" customFormat="1" ht="30" outlineLevel="1" x14ac:dyDescent="0.25">
      <c r="A119" s="184" t="s">
        <v>253</v>
      </c>
      <c r="B119" s="185"/>
      <c r="C119" s="186"/>
      <c r="D119" s="207" t="s">
        <v>126</v>
      </c>
      <c r="E119" s="188" t="s">
        <v>90</v>
      </c>
      <c r="F119" s="189" t="s">
        <v>89</v>
      </c>
      <c r="G119" s="190">
        <v>1.03</v>
      </c>
      <c r="H119" s="103">
        <f>ROUND(224*G119,0)</f>
        <v>231</v>
      </c>
      <c r="I119" s="224"/>
      <c r="J119" s="113"/>
      <c r="K119" s="191">
        <f>I119</f>
        <v>0</v>
      </c>
      <c r="L119" s="191">
        <f t="shared" ref="L119:L120" si="18">I119*H119</f>
        <v>0</v>
      </c>
      <c r="M119" s="114"/>
      <c r="N119" s="131">
        <f t="shared" ref="N119:N120" si="19">L119</f>
        <v>0</v>
      </c>
      <c r="P119" s="111"/>
      <c r="Z119" s="192"/>
    </row>
    <row r="120" spans="1:26" s="164" customFormat="1" outlineLevel="1" x14ac:dyDescent="0.25">
      <c r="A120" s="184" t="s">
        <v>254</v>
      </c>
      <c r="B120" s="193"/>
      <c r="C120" s="194"/>
      <c r="D120" s="195" t="s">
        <v>127</v>
      </c>
      <c r="E120" s="188" t="s">
        <v>90</v>
      </c>
      <c r="F120" s="189" t="s">
        <v>89</v>
      </c>
      <c r="G120" s="190">
        <v>1.1000000000000001</v>
      </c>
      <c r="H120" s="103">
        <f>ROUND(380*G120,0)</f>
        <v>418</v>
      </c>
      <c r="I120" s="224"/>
      <c r="J120" s="133"/>
      <c r="K120" s="191">
        <f t="shared" ref="K120" si="20">I120</f>
        <v>0</v>
      </c>
      <c r="L120" s="191">
        <f t="shared" si="18"/>
        <v>0</v>
      </c>
      <c r="M120" s="114"/>
      <c r="N120" s="131">
        <f t="shared" si="19"/>
        <v>0</v>
      </c>
      <c r="P120" s="132"/>
      <c r="Z120" s="192"/>
    </row>
    <row r="121" spans="1:26" ht="76.5" outlineLevel="1" x14ac:dyDescent="0.25">
      <c r="A121" s="175" t="s">
        <v>255</v>
      </c>
      <c r="B121" s="176" t="s">
        <v>124</v>
      </c>
      <c r="C121" s="176"/>
      <c r="D121" s="177" t="s">
        <v>150</v>
      </c>
      <c r="E121" s="178" t="s">
        <v>6</v>
      </c>
      <c r="F121" s="179" t="s">
        <v>89</v>
      </c>
      <c r="G121" s="180"/>
      <c r="H121" s="104">
        <f>4*2+119*2</f>
        <v>246</v>
      </c>
      <c r="I121" s="223"/>
      <c r="J121" s="105"/>
      <c r="K121" s="181">
        <f>J121</f>
        <v>0</v>
      </c>
      <c r="L121" s="181"/>
      <c r="M121" s="112">
        <f>J121*H121</f>
        <v>0</v>
      </c>
      <c r="N121" s="130">
        <f>M121</f>
        <v>0</v>
      </c>
      <c r="O121" s="164"/>
      <c r="P121" s="182" t="s">
        <v>174</v>
      </c>
    </row>
    <row r="122" spans="1:26" ht="38.25" outlineLevel="1" x14ac:dyDescent="0.25">
      <c r="A122" s="184" t="s">
        <v>256</v>
      </c>
      <c r="B122" s="185"/>
      <c r="C122" s="186"/>
      <c r="D122" s="206" t="s">
        <v>125</v>
      </c>
      <c r="E122" s="188" t="s">
        <v>90</v>
      </c>
      <c r="F122" s="189" t="s">
        <v>89</v>
      </c>
      <c r="G122" s="190">
        <v>1.03</v>
      </c>
      <c r="H122" s="142">
        <f>ROUND((4*2+119*2)*G122,0)</f>
        <v>253</v>
      </c>
      <c r="I122" s="224"/>
      <c r="J122" s="113"/>
      <c r="K122" s="191">
        <f>I122</f>
        <v>0</v>
      </c>
      <c r="L122" s="191">
        <f>I122*H122</f>
        <v>0</v>
      </c>
      <c r="M122" s="114"/>
      <c r="N122" s="131">
        <f>L122</f>
        <v>0</v>
      </c>
      <c r="O122" s="164"/>
      <c r="P122" s="132"/>
    </row>
    <row r="123" spans="1:26" s="164" customFormat="1" x14ac:dyDescent="0.25">
      <c r="A123" s="165"/>
      <c r="B123" s="166"/>
      <c r="C123" s="115"/>
      <c r="D123" s="143" t="s">
        <v>206</v>
      </c>
      <c r="E123" s="107"/>
      <c r="F123" s="107"/>
      <c r="G123" s="107"/>
      <c r="H123" s="108"/>
      <c r="I123" s="250"/>
      <c r="J123" s="251"/>
      <c r="K123" s="110"/>
      <c r="L123" s="119"/>
      <c r="M123" s="119"/>
      <c r="N123" s="119"/>
      <c r="P123" s="197"/>
      <c r="Z123" s="192"/>
    </row>
    <row r="124" spans="1:26" s="164" customFormat="1" ht="12.75" x14ac:dyDescent="0.25">
      <c r="A124" s="168">
        <v>6</v>
      </c>
      <c r="B124" s="169"/>
      <c r="C124" s="169"/>
      <c r="D124" s="170" t="s">
        <v>155</v>
      </c>
      <c r="E124" s="125"/>
      <c r="F124" s="171"/>
      <c r="G124" s="172"/>
      <c r="H124" s="128"/>
      <c r="I124" s="252"/>
      <c r="J124" s="126"/>
      <c r="K124" s="173"/>
      <c r="L124" s="173"/>
      <c r="M124" s="127"/>
      <c r="N124" s="129"/>
      <c r="P124" s="174"/>
    </row>
    <row r="125" spans="1:26" s="164" customFormat="1" outlineLevel="1" x14ac:dyDescent="0.25">
      <c r="A125" s="175" t="s">
        <v>257</v>
      </c>
      <c r="B125" s="176" t="s">
        <v>129</v>
      </c>
      <c r="C125" s="176"/>
      <c r="D125" s="177" t="s">
        <v>130</v>
      </c>
      <c r="E125" s="178" t="s">
        <v>6</v>
      </c>
      <c r="F125" s="179" t="s">
        <v>59</v>
      </c>
      <c r="G125" s="180"/>
      <c r="H125" s="104">
        <f>H126</f>
        <v>7</v>
      </c>
      <c r="I125" s="223"/>
      <c r="J125" s="105"/>
      <c r="K125" s="181">
        <f>J125</f>
        <v>0</v>
      </c>
      <c r="L125" s="181"/>
      <c r="M125" s="112">
        <f>J125*H125</f>
        <v>0</v>
      </c>
      <c r="N125" s="130">
        <f>M125</f>
        <v>0</v>
      </c>
      <c r="P125" s="182" t="s">
        <v>173</v>
      </c>
      <c r="U125" s="249"/>
    </row>
    <row r="126" spans="1:26" s="164" customFormat="1" outlineLevel="1" x14ac:dyDescent="0.25">
      <c r="A126" s="184" t="s">
        <v>258</v>
      </c>
      <c r="B126" s="185"/>
      <c r="C126" s="186"/>
      <c r="D126" s="187" t="s">
        <v>107</v>
      </c>
      <c r="E126" s="188" t="s">
        <v>90</v>
      </c>
      <c r="F126" s="189" t="s">
        <v>59</v>
      </c>
      <c r="G126" s="190">
        <v>1</v>
      </c>
      <c r="H126" s="103">
        <f>1+4+2</f>
        <v>7</v>
      </c>
      <c r="I126" s="224"/>
      <c r="J126" s="106"/>
      <c r="K126" s="191">
        <f>I126</f>
        <v>0</v>
      </c>
      <c r="L126" s="191">
        <f>I126*H126</f>
        <v>0</v>
      </c>
      <c r="M126" s="114"/>
      <c r="N126" s="131">
        <f>L126</f>
        <v>0</v>
      </c>
      <c r="P126" s="111"/>
      <c r="Z126" s="192"/>
    </row>
    <row r="127" spans="1:26" s="164" customFormat="1" outlineLevel="1" x14ac:dyDescent="0.25">
      <c r="A127" s="184" t="s">
        <v>259</v>
      </c>
      <c r="B127" s="193"/>
      <c r="C127" s="194"/>
      <c r="D127" s="195" t="s">
        <v>128</v>
      </c>
      <c r="E127" s="188" t="s">
        <v>90</v>
      </c>
      <c r="F127" s="189" t="s">
        <v>59</v>
      </c>
      <c r="G127" s="190">
        <v>1</v>
      </c>
      <c r="H127" s="103">
        <f>H126</f>
        <v>7</v>
      </c>
      <c r="I127" s="224"/>
      <c r="J127" s="133"/>
      <c r="K127" s="191">
        <f>I127</f>
        <v>0</v>
      </c>
      <c r="L127" s="191">
        <f>I127*H127</f>
        <v>0</v>
      </c>
      <c r="M127" s="114"/>
      <c r="N127" s="131">
        <f>L127</f>
        <v>0</v>
      </c>
      <c r="P127" s="132"/>
      <c r="Z127" s="192"/>
    </row>
    <row r="128" spans="1:26" s="164" customFormat="1" ht="12.75" outlineLevel="1" x14ac:dyDescent="0.25">
      <c r="A128" s="175" t="s">
        <v>260</v>
      </c>
      <c r="B128" s="176" t="s">
        <v>131</v>
      </c>
      <c r="C128" s="176"/>
      <c r="D128" s="177" t="s">
        <v>88</v>
      </c>
      <c r="E128" s="178" t="s">
        <v>6</v>
      </c>
      <c r="F128" s="179" t="s">
        <v>59</v>
      </c>
      <c r="G128" s="180"/>
      <c r="H128" s="104">
        <f>H129</f>
        <v>4</v>
      </c>
      <c r="I128" s="223"/>
      <c r="J128" s="225"/>
      <c r="K128" s="181">
        <f>J128</f>
        <v>0</v>
      </c>
      <c r="L128" s="181"/>
      <c r="M128" s="112">
        <f>J128*H128</f>
        <v>0</v>
      </c>
      <c r="N128" s="130">
        <f>M128</f>
        <v>0</v>
      </c>
      <c r="P128" s="182" t="s">
        <v>173</v>
      </c>
      <c r="Z128" s="192"/>
    </row>
    <row r="129" spans="1:26" s="164" customFormat="1" outlineLevel="1" x14ac:dyDescent="0.25">
      <c r="A129" s="198" t="s">
        <v>261</v>
      </c>
      <c r="B129" s="193"/>
      <c r="C129" s="194"/>
      <c r="D129" s="199" t="s">
        <v>132</v>
      </c>
      <c r="E129" s="188" t="s">
        <v>90</v>
      </c>
      <c r="F129" s="189" t="s">
        <v>59</v>
      </c>
      <c r="G129" s="190">
        <v>1</v>
      </c>
      <c r="H129" s="103">
        <f>2*2</f>
        <v>4</v>
      </c>
      <c r="I129" s="224"/>
      <c r="J129" s="113"/>
      <c r="K129" s="191">
        <f>I129</f>
        <v>0</v>
      </c>
      <c r="L129" s="191">
        <f>I129*H129</f>
        <v>0</v>
      </c>
      <c r="M129" s="114"/>
      <c r="N129" s="131">
        <f>L129</f>
        <v>0</v>
      </c>
      <c r="P129" s="132"/>
      <c r="Z129" s="192"/>
    </row>
    <row r="130" spans="1:26" s="164" customFormat="1" ht="12.75" outlineLevel="1" x14ac:dyDescent="0.25">
      <c r="A130" s="175" t="s">
        <v>262</v>
      </c>
      <c r="B130" s="176" t="s">
        <v>134</v>
      </c>
      <c r="C130" s="176"/>
      <c r="D130" s="177" t="s">
        <v>133</v>
      </c>
      <c r="E130" s="178" t="s">
        <v>6</v>
      </c>
      <c r="F130" s="179" t="s">
        <v>59</v>
      </c>
      <c r="G130" s="180"/>
      <c r="H130" s="104">
        <f>H131</f>
        <v>4</v>
      </c>
      <c r="I130" s="223"/>
      <c r="J130" s="225"/>
      <c r="K130" s="181">
        <f>J130</f>
        <v>0</v>
      </c>
      <c r="L130" s="181"/>
      <c r="M130" s="112">
        <f>J130*H130</f>
        <v>0</v>
      </c>
      <c r="N130" s="130">
        <f>M130</f>
        <v>0</v>
      </c>
      <c r="P130" s="182" t="s">
        <v>173</v>
      </c>
      <c r="Z130" s="192"/>
    </row>
    <row r="131" spans="1:26" s="164" customFormat="1" outlineLevel="1" x14ac:dyDescent="0.25">
      <c r="A131" s="198" t="s">
        <v>263</v>
      </c>
      <c r="B131" s="193"/>
      <c r="C131" s="194"/>
      <c r="D131" s="199" t="s">
        <v>135</v>
      </c>
      <c r="E131" s="188" t="s">
        <v>90</v>
      </c>
      <c r="F131" s="200" t="s">
        <v>59</v>
      </c>
      <c r="G131" s="190">
        <v>1</v>
      </c>
      <c r="H131" s="103">
        <f>2*2</f>
        <v>4</v>
      </c>
      <c r="I131" s="224"/>
      <c r="J131" s="133"/>
      <c r="K131" s="191">
        <f>I131</f>
        <v>0</v>
      </c>
      <c r="L131" s="191">
        <f>I131*H131</f>
        <v>0</v>
      </c>
      <c r="M131" s="114"/>
      <c r="N131" s="131">
        <f>L131</f>
        <v>0</v>
      </c>
      <c r="P131" s="132"/>
      <c r="Z131" s="192"/>
    </row>
    <row r="132" spans="1:26" s="164" customFormat="1" ht="12.75" outlineLevel="1" x14ac:dyDescent="0.25">
      <c r="A132" s="175" t="s">
        <v>264</v>
      </c>
      <c r="B132" s="176" t="s">
        <v>109</v>
      </c>
      <c r="C132" s="176"/>
      <c r="D132" s="177" t="s">
        <v>108</v>
      </c>
      <c r="E132" s="178" t="s">
        <v>6</v>
      </c>
      <c r="F132" s="179" t="s">
        <v>59</v>
      </c>
      <c r="G132" s="180"/>
      <c r="H132" s="104">
        <v>1</v>
      </c>
      <c r="I132" s="223"/>
      <c r="J132" s="225"/>
      <c r="K132" s="181">
        <f>J132</f>
        <v>0</v>
      </c>
      <c r="L132" s="181"/>
      <c r="M132" s="112">
        <f>J132*H132</f>
        <v>0</v>
      </c>
      <c r="N132" s="130">
        <f>M132</f>
        <v>0</v>
      </c>
      <c r="P132" s="182" t="s">
        <v>173</v>
      </c>
      <c r="Z132" s="192"/>
    </row>
    <row r="133" spans="1:26" s="164" customFormat="1" ht="30" outlineLevel="1" x14ac:dyDescent="0.25">
      <c r="A133" s="201" t="s">
        <v>265</v>
      </c>
      <c r="B133" s="202"/>
      <c r="C133" s="202"/>
      <c r="D133" s="203" t="s">
        <v>302</v>
      </c>
      <c r="E133" s="188" t="s">
        <v>90</v>
      </c>
      <c r="F133" s="204" t="s">
        <v>91</v>
      </c>
      <c r="G133" s="205">
        <v>1</v>
      </c>
      <c r="H133" s="138">
        <v>1</v>
      </c>
      <c r="I133" s="226"/>
      <c r="J133" s="227"/>
      <c r="K133" s="191">
        <f t="shared" ref="K133" si="21">I133</f>
        <v>0</v>
      </c>
      <c r="L133" s="191">
        <f t="shared" ref="L133" si="22">I133*H133</f>
        <v>0</v>
      </c>
      <c r="M133" s="114"/>
      <c r="N133" s="131">
        <f t="shared" ref="N133" si="23">L133</f>
        <v>0</v>
      </c>
      <c r="P133" s="137"/>
      <c r="Z133" s="192"/>
    </row>
    <row r="134" spans="1:26" s="164" customFormat="1" outlineLevel="1" x14ac:dyDescent="0.25">
      <c r="A134" s="184" t="s">
        <v>266</v>
      </c>
      <c r="B134" s="185"/>
      <c r="C134" s="186"/>
      <c r="D134" s="203" t="s">
        <v>144</v>
      </c>
      <c r="E134" s="188" t="s">
        <v>90</v>
      </c>
      <c r="F134" s="189" t="s">
        <v>59</v>
      </c>
      <c r="G134" s="190">
        <v>1</v>
      </c>
      <c r="H134" s="103">
        <v>1</v>
      </c>
      <c r="I134" s="224"/>
      <c r="J134" s="113"/>
      <c r="K134" s="191"/>
      <c r="L134" s="191"/>
      <c r="M134" s="114"/>
      <c r="N134" s="131"/>
      <c r="P134" s="111"/>
      <c r="Z134" s="192"/>
    </row>
    <row r="135" spans="1:26" s="164" customFormat="1" outlineLevel="1" x14ac:dyDescent="0.25">
      <c r="A135" s="201" t="s">
        <v>267</v>
      </c>
      <c r="B135" s="193"/>
      <c r="C135" s="194"/>
      <c r="D135" s="203" t="s">
        <v>111</v>
      </c>
      <c r="E135" s="188" t="s">
        <v>90</v>
      </c>
      <c r="F135" s="189" t="s">
        <v>59</v>
      </c>
      <c r="G135" s="190">
        <v>1</v>
      </c>
      <c r="H135" s="103">
        <v>1</v>
      </c>
      <c r="I135" s="135"/>
      <c r="J135" s="196"/>
      <c r="K135" s="191"/>
      <c r="L135" s="196"/>
      <c r="M135" s="134"/>
      <c r="N135" s="136"/>
      <c r="P135" s="132"/>
      <c r="Z135" s="192"/>
    </row>
    <row r="136" spans="1:26" s="164" customFormat="1" outlineLevel="1" x14ac:dyDescent="0.25">
      <c r="A136" s="184" t="s">
        <v>268</v>
      </c>
      <c r="B136" s="193"/>
      <c r="C136" s="194"/>
      <c r="D136" s="203" t="s">
        <v>112</v>
      </c>
      <c r="E136" s="188" t="s">
        <v>90</v>
      </c>
      <c r="F136" s="189" t="s">
        <v>59</v>
      </c>
      <c r="G136" s="190">
        <v>1</v>
      </c>
      <c r="H136" s="103">
        <v>1</v>
      </c>
      <c r="I136" s="135"/>
      <c r="J136" s="196"/>
      <c r="K136" s="191"/>
      <c r="L136" s="196"/>
      <c r="M136" s="134"/>
      <c r="N136" s="136"/>
      <c r="P136" s="132"/>
      <c r="Z136" s="192"/>
    </row>
    <row r="137" spans="1:26" s="164" customFormat="1" outlineLevel="1" x14ac:dyDescent="0.25">
      <c r="A137" s="201" t="s">
        <v>269</v>
      </c>
      <c r="B137" s="193"/>
      <c r="C137" s="194"/>
      <c r="D137" s="195" t="s">
        <v>113</v>
      </c>
      <c r="E137" s="188" t="s">
        <v>90</v>
      </c>
      <c r="F137" s="189" t="s">
        <v>59</v>
      </c>
      <c r="G137" s="190">
        <v>1</v>
      </c>
      <c r="H137" s="103">
        <v>1</v>
      </c>
      <c r="I137" s="135"/>
      <c r="J137" s="196"/>
      <c r="K137" s="196"/>
      <c r="L137" s="196"/>
      <c r="M137" s="134"/>
      <c r="N137" s="136"/>
      <c r="P137" s="132"/>
      <c r="Z137" s="192"/>
    </row>
    <row r="138" spans="1:26" s="164" customFormat="1" outlineLevel="1" x14ac:dyDescent="0.25">
      <c r="A138" s="184" t="s">
        <v>270</v>
      </c>
      <c r="B138" s="193"/>
      <c r="C138" s="194"/>
      <c r="D138" s="195" t="s">
        <v>114</v>
      </c>
      <c r="E138" s="188" t="s">
        <v>90</v>
      </c>
      <c r="F138" s="189" t="s">
        <v>59</v>
      </c>
      <c r="G138" s="190">
        <v>1</v>
      </c>
      <c r="H138" s="103">
        <v>3</v>
      </c>
      <c r="I138" s="135"/>
      <c r="J138" s="196"/>
      <c r="K138" s="196"/>
      <c r="L138" s="196"/>
      <c r="M138" s="134"/>
      <c r="N138" s="136"/>
      <c r="P138" s="132"/>
      <c r="Z138" s="192"/>
    </row>
    <row r="139" spans="1:26" s="164" customFormat="1" outlineLevel="1" x14ac:dyDescent="0.25">
      <c r="A139" s="201" t="s">
        <v>271</v>
      </c>
      <c r="B139" s="193"/>
      <c r="C139" s="194"/>
      <c r="D139" s="195" t="s">
        <v>115</v>
      </c>
      <c r="E139" s="188" t="s">
        <v>90</v>
      </c>
      <c r="F139" s="189" t="s">
        <v>59</v>
      </c>
      <c r="G139" s="190">
        <v>1</v>
      </c>
      <c r="H139" s="103">
        <v>1</v>
      </c>
      <c r="I139" s="135"/>
      <c r="J139" s="196"/>
      <c r="K139" s="196"/>
      <c r="L139" s="196"/>
      <c r="M139" s="134"/>
      <c r="N139" s="136"/>
      <c r="P139" s="132"/>
      <c r="Z139" s="192"/>
    </row>
    <row r="140" spans="1:26" s="164" customFormat="1" outlineLevel="1" x14ac:dyDescent="0.25">
      <c r="A140" s="184" t="s">
        <v>272</v>
      </c>
      <c r="B140" s="193"/>
      <c r="C140" s="194"/>
      <c r="D140" s="195" t="s">
        <v>116</v>
      </c>
      <c r="E140" s="188" t="s">
        <v>90</v>
      </c>
      <c r="F140" s="189" t="s">
        <v>59</v>
      </c>
      <c r="G140" s="190">
        <v>1</v>
      </c>
      <c r="H140" s="103">
        <v>1</v>
      </c>
      <c r="I140" s="135"/>
      <c r="J140" s="196"/>
      <c r="K140" s="196"/>
      <c r="L140" s="196"/>
      <c r="M140" s="134"/>
      <c r="N140" s="136"/>
      <c r="P140" s="132"/>
      <c r="Z140" s="192"/>
    </row>
    <row r="141" spans="1:26" s="164" customFormat="1" outlineLevel="1" x14ac:dyDescent="0.25">
      <c r="A141" s="201" t="s">
        <v>273</v>
      </c>
      <c r="B141" s="193"/>
      <c r="C141" s="194"/>
      <c r="D141" s="195" t="s">
        <v>117</v>
      </c>
      <c r="E141" s="188" t="s">
        <v>90</v>
      </c>
      <c r="F141" s="189" t="s">
        <v>59</v>
      </c>
      <c r="G141" s="190">
        <v>1</v>
      </c>
      <c r="H141" s="103">
        <v>1</v>
      </c>
      <c r="I141" s="135"/>
      <c r="J141" s="196"/>
      <c r="K141" s="196"/>
      <c r="L141" s="196"/>
      <c r="M141" s="134"/>
      <c r="N141" s="136"/>
      <c r="P141" s="132"/>
      <c r="Z141" s="192"/>
    </row>
    <row r="142" spans="1:26" s="164" customFormat="1" outlineLevel="1" x14ac:dyDescent="0.25">
      <c r="A142" s="184" t="s">
        <v>274</v>
      </c>
      <c r="B142" s="193"/>
      <c r="C142" s="194"/>
      <c r="D142" s="195" t="s">
        <v>118</v>
      </c>
      <c r="E142" s="188" t="s">
        <v>90</v>
      </c>
      <c r="F142" s="189" t="s">
        <v>59</v>
      </c>
      <c r="G142" s="190">
        <v>1</v>
      </c>
      <c r="H142" s="103">
        <v>2</v>
      </c>
      <c r="I142" s="135"/>
      <c r="J142" s="196"/>
      <c r="K142" s="196"/>
      <c r="L142" s="196"/>
      <c r="M142" s="134"/>
      <c r="N142" s="136"/>
      <c r="P142" s="132"/>
      <c r="Z142" s="192"/>
    </row>
    <row r="143" spans="1:26" s="164" customFormat="1" outlineLevel="1" x14ac:dyDescent="0.25">
      <c r="A143" s="201" t="s">
        <v>275</v>
      </c>
      <c r="B143" s="193"/>
      <c r="C143" s="194"/>
      <c r="D143" s="195" t="s">
        <v>119</v>
      </c>
      <c r="E143" s="188" t="s">
        <v>90</v>
      </c>
      <c r="F143" s="189" t="s">
        <v>59</v>
      </c>
      <c r="G143" s="190">
        <v>1</v>
      </c>
      <c r="H143" s="103">
        <v>1</v>
      </c>
      <c r="I143" s="135"/>
      <c r="J143" s="196"/>
      <c r="K143" s="196"/>
      <c r="L143" s="196"/>
      <c r="M143" s="134"/>
      <c r="N143" s="136"/>
      <c r="P143" s="132"/>
      <c r="Z143" s="192"/>
    </row>
    <row r="144" spans="1:26" s="164" customFormat="1" outlineLevel="1" x14ac:dyDescent="0.25">
      <c r="A144" s="184" t="s">
        <v>276</v>
      </c>
      <c r="B144" s="193"/>
      <c r="C144" s="194"/>
      <c r="D144" s="195" t="s">
        <v>120</v>
      </c>
      <c r="E144" s="188" t="s">
        <v>90</v>
      </c>
      <c r="F144" s="189" t="s">
        <v>59</v>
      </c>
      <c r="G144" s="190">
        <v>1</v>
      </c>
      <c r="H144" s="103">
        <v>1</v>
      </c>
      <c r="I144" s="135"/>
      <c r="J144" s="196"/>
      <c r="K144" s="196"/>
      <c r="L144" s="196"/>
      <c r="M144" s="134"/>
      <c r="N144" s="136"/>
      <c r="P144" s="132"/>
      <c r="Z144" s="192"/>
    </row>
    <row r="145" spans="1:26" s="164" customFormat="1" outlineLevel="1" x14ac:dyDescent="0.25">
      <c r="A145" s="201" t="s">
        <v>277</v>
      </c>
      <c r="B145" s="193"/>
      <c r="C145" s="194"/>
      <c r="D145" s="195" t="s">
        <v>121</v>
      </c>
      <c r="E145" s="188" t="s">
        <v>90</v>
      </c>
      <c r="F145" s="189" t="s">
        <v>59</v>
      </c>
      <c r="G145" s="190">
        <v>1</v>
      </c>
      <c r="H145" s="103">
        <v>1</v>
      </c>
      <c r="I145" s="135"/>
      <c r="J145" s="196"/>
      <c r="K145" s="196"/>
      <c r="L145" s="196"/>
      <c r="M145" s="134"/>
      <c r="N145" s="136"/>
      <c r="P145" s="132"/>
      <c r="Z145" s="192"/>
    </row>
    <row r="146" spans="1:26" s="164" customFormat="1" outlineLevel="1" x14ac:dyDescent="0.25">
      <c r="A146" s="184" t="s">
        <v>278</v>
      </c>
      <c r="B146" s="193"/>
      <c r="C146" s="194"/>
      <c r="D146" s="195" t="s">
        <v>122</v>
      </c>
      <c r="E146" s="188" t="s">
        <v>90</v>
      </c>
      <c r="F146" s="189" t="s">
        <v>59</v>
      </c>
      <c r="G146" s="190">
        <v>1</v>
      </c>
      <c r="H146" s="103">
        <v>5</v>
      </c>
      <c r="I146" s="135"/>
      <c r="J146" s="196"/>
      <c r="K146" s="196"/>
      <c r="L146" s="196"/>
      <c r="M146" s="134"/>
      <c r="N146" s="136"/>
      <c r="P146" s="132"/>
      <c r="Z146" s="192"/>
    </row>
    <row r="147" spans="1:26" s="164" customFormat="1" outlineLevel="1" x14ac:dyDescent="0.25">
      <c r="A147" s="201" t="s">
        <v>279</v>
      </c>
      <c r="B147" s="193"/>
      <c r="C147" s="194"/>
      <c r="D147" s="195" t="s">
        <v>123</v>
      </c>
      <c r="E147" s="188" t="s">
        <v>90</v>
      </c>
      <c r="F147" s="189" t="s">
        <v>59</v>
      </c>
      <c r="G147" s="190">
        <v>1</v>
      </c>
      <c r="H147" s="103">
        <v>1</v>
      </c>
      <c r="I147" s="135"/>
      <c r="J147" s="196"/>
      <c r="K147" s="196"/>
      <c r="L147" s="196"/>
      <c r="M147" s="134"/>
      <c r="N147" s="136"/>
      <c r="P147" s="132"/>
      <c r="Z147" s="192"/>
    </row>
    <row r="148" spans="1:26" s="164" customFormat="1" ht="76.5" outlineLevel="1" x14ac:dyDescent="0.25">
      <c r="A148" s="175" t="s">
        <v>280</v>
      </c>
      <c r="B148" s="176" t="s">
        <v>124</v>
      </c>
      <c r="C148" s="176"/>
      <c r="D148" s="177" t="s">
        <v>149</v>
      </c>
      <c r="E148" s="178" t="s">
        <v>6</v>
      </c>
      <c r="F148" s="179" t="s">
        <v>89</v>
      </c>
      <c r="G148" s="180"/>
      <c r="H148" s="104">
        <f>14+16*6</f>
        <v>110</v>
      </c>
      <c r="I148" s="223"/>
      <c r="J148" s="105"/>
      <c r="K148" s="181">
        <f>J148</f>
        <v>0</v>
      </c>
      <c r="L148" s="181"/>
      <c r="M148" s="112">
        <f>J148*H148</f>
        <v>0</v>
      </c>
      <c r="N148" s="130">
        <f>M148</f>
        <v>0</v>
      </c>
      <c r="P148" s="182" t="s">
        <v>174</v>
      </c>
      <c r="Z148" s="192"/>
    </row>
    <row r="149" spans="1:26" s="164" customFormat="1" ht="38.25" outlineLevel="1" x14ac:dyDescent="0.25">
      <c r="A149" s="184" t="s">
        <v>281</v>
      </c>
      <c r="B149" s="185"/>
      <c r="C149" s="186"/>
      <c r="D149" s="206" t="s">
        <v>125</v>
      </c>
      <c r="E149" s="188" t="s">
        <v>90</v>
      </c>
      <c r="F149" s="189" t="s">
        <v>89</v>
      </c>
      <c r="G149" s="190">
        <v>1.03</v>
      </c>
      <c r="H149" s="103">
        <f>ROUND((14+16*6)*G149,0)</f>
        <v>113</v>
      </c>
      <c r="I149" s="224"/>
      <c r="J149" s="113"/>
      <c r="K149" s="191">
        <f>I149</f>
        <v>0</v>
      </c>
      <c r="L149" s="191">
        <f>I149*H149</f>
        <v>0</v>
      </c>
      <c r="M149" s="114"/>
      <c r="N149" s="131">
        <f>L149</f>
        <v>0</v>
      </c>
      <c r="P149" s="132"/>
      <c r="Z149" s="192"/>
    </row>
    <row r="150" spans="1:26" s="164" customFormat="1" ht="76.5" outlineLevel="1" x14ac:dyDescent="0.25">
      <c r="A150" s="175" t="s">
        <v>282</v>
      </c>
      <c r="B150" s="176" t="s">
        <v>124</v>
      </c>
      <c r="C150" s="176"/>
      <c r="D150" s="177" t="s">
        <v>217</v>
      </c>
      <c r="E150" s="178" t="s">
        <v>6</v>
      </c>
      <c r="F150" s="179" t="s">
        <v>89</v>
      </c>
      <c r="G150" s="180"/>
      <c r="H150" s="104">
        <v>336</v>
      </c>
      <c r="I150" s="223"/>
      <c r="J150" s="105"/>
      <c r="K150" s="181">
        <f>J150</f>
        <v>0</v>
      </c>
      <c r="L150" s="181"/>
      <c r="M150" s="112">
        <f>J150*H150</f>
        <v>0</v>
      </c>
      <c r="N150" s="130">
        <f>M150</f>
        <v>0</v>
      </c>
      <c r="P150" s="182" t="s">
        <v>174</v>
      </c>
      <c r="Z150" s="192"/>
    </row>
    <row r="151" spans="1:26" s="164" customFormat="1" ht="38.25" outlineLevel="1" x14ac:dyDescent="0.25">
      <c r="A151" s="184" t="s">
        <v>283</v>
      </c>
      <c r="B151" s="185"/>
      <c r="C151" s="186"/>
      <c r="D151" s="206" t="s">
        <v>125</v>
      </c>
      <c r="E151" s="188" t="s">
        <v>90</v>
      </c>
      <c r="F151" s="189" t="s">
        <v>89</v>
      </c>
      <c r="G151" s="190">
        <v>1.03</v>
      </c>
      <c r="H151" s="103">
        <f>ROUND((10+27+16+17+22+33+27)*G151,0)</f>
        <v>157</v>
      </c>
      <c r="I151" s="224"/>
      <c r="J151" s="113"/>
      <c r="K151" s="191">
        <f>I151</f>
        <v>0</v>
      </c>
      <c r="L151" s="191">
        <f>I151*H151</f>
        <v>0</v>
      </c>
      <c r="M151" s="114"/>
      <c r="N151" s="131">
        <f>L151</f>
        <v>0</v>
      </c>
      <c r="P151" s="132"/>
      <c r="Z151" s="192"/>
    </row>
    <row r="152" spans="1:26" s="164" customFormat="1" ht="30" outlineLevel="1" x14ac:dyDescent="0.25">
      <c r="A152" s="184" t="s">
        <v>284</v>
      </c>
      <c r="B152" s="185"/>
      <c r="C152" s="186"/>
      <c r="D152" s="207" t="s">
        <v>126</v>
      </c>
      <c r="E152" s="188" t="s">
        <v>90</v>
      </c>
      <c r="F152" s="189" t="s">
        <v>89</v>
      </c>
      <c r="G152" s="190">
        <v>1.03</v>
      </c>
      <c r="H152" s="103">
        <f>ROUND(184*G152,0)</f>
        <v>190</v>
      </c>
      <c r="I152" s="224"/>
      <c r="J152" s="113"/>
      <c r="K152" s="191">
        <f>I152</f>
        <v>0</v>
      </c>
      <c r="L152" s="191">
        <f t="shared" ref="L152:L153" si="24">I152*H152</f>
        <v>0</v>
      </c>
      <c r="M152" s="114"/>
      <c r="N152" s="131">
        <f t="shared" ref="N152:N153" si="25">L152</f>
        <v>0</v>
      </c>
      <c r="P152" s="111"/>
      <c r="Z152" s="192"/>
    </row>
    <row r="153" spans="1:26" s="164" customFormat="1" outlineLevel="1" x14ac:dyDescent="0.25">
      <c r="A153" s="184" t="s">
        <v>285</v>
      </c>
      <c r="B153" s="193"/>
      <c r="C153" s="194"/>
      <c r="D153" s="195" t="s">
        <v>127</v>
      </c>
      <c r="E153" s="188" t="s">
        <v>90</v>
      </c>
      <c r="F153" s="189" t="s">
        <v>89</v>
      </c>
      <c r="G153" s="190">
        <v>1.1000000000000001</v>
      </c>
      <c r="H153" s="103">
        <f>ROUND(336*G153,0)</f>
        <v>370</v>
      </c>
      <c r="I153" s="224"/>
      <c r="J153" s="133"/>
      <c r="K153" s="191">
        <f t="shared" ref="K153" si="26">I153</f>
        <v>0</v>
      </c>
      <c r="L153" s="191">
        <f t="shared" si="24"/>
        <v>0</v>
      </c>
      <c r="M153" s="114"/>
      <c r="N153" s="131">
        <f t="shared" si="25"/>
        <v>0</v>
      </c>
      <c r="P153" s="132"/>
      <c r="Z153" s="192"/>
    </row>
    <row r="154" spans="1:26" s="164" customFormat="1" ht="76.5" outlineLevel="1" x14ac:dyDescent="0.25">
      <c r="A154" s="175" t="s">
        <v>286</v>
      </c>
      <c r="B154" s="176" t="s">
        <v>124</v>
      </c>
      <c r="C154" s="176"/>
      <c r="D154" s="177" t="s">
        <v>150</v>
      </c>
      <c r="E154" s="178" t="s">
        <v>6</v>
      </c>
      <c r="F154" s="179" t="s">
        <v>89</v>
      </c>
      <c r="G154" s="180"/>
      <c r="H154" s="104">
        <f>4*4+98*2</f>
        <v>212</v>
      </c>
      <c r="I154" s="223"/>
      <c r="J154" s="105"/>
      <c r="K154" s="181">
        <f>J154</f>
        <v>0</v>
      </c>
      <c r="L154" s="181"/>
      <c r="M154" s="112">
        <f>J154*H154</f>
        <v>0</v>
      </c>
      <c r="N154" s="130">
        <f>M154</f>
        <v>0</v>
      </c>
      <c r="P154" s="182" t="s">
        <v>174</v>
      </c>
      <c r="Z154" s="192"/>
    </row>
    <row r="155" spans="1:26" s="164" customFormat="1" ht="38.25" outlineLevel="1" x14ac:dyDescent="0.25">
      <c r="A155" s="184" t="s">
        <v>287</v>
      </c>
      <c r="B155" s="185"/>
      <c r="C155" s="186"/>
      <c r="D155" s="206" t="s">
        <v>125</v>
      </c>
      <c r="E155" s="188" t="s">
        <v>90</v>
      </c>
      <c r="F155" s="189" t="s">
        <v>89</v>
      </c>
      <c r="G155" s="190">
        <v>1.03</v>
      </c>
      <c r="H155" s="142">
        <f>ROUND((4*4+98*2)*G155,0)</f>
        <v>218</v>
      </c>
      <c r="I155" s="224"/>
      <c r="J155" s="113"/>
      <c r="K155" s="191">
        <f>I155</f>
        <v>0</v>
      </c>
      <c r="L155" s="191">
        <f>I155*H155</f>
        <v>0</v>
      </c>
      <c r="M155" s="114"/>
      <c r="N155" s="131">
        <f>L155</f>
        <v>0</v>
      </c>
      <c r="P155" s="132"/>
      <c r="Z155" s="192"/>
    </row>
    <row r="156" spans="1:26" s="164" customFormat="1" x14ac:dyDescent="0.25">
      <c r="A156" s="165"/>
      <c r="B156" s="166"/>
      <c r="C156" s="115"/>
      <c r="D156" s="143" t="s">
        <v>207</v>
      </c>
      <c r="E156" s="107"/>
      <c r="F156" s="107"/>
      <c r="G156" s="107"/>
      <c r="H156" s="108"/>
      <c r="I156" s="250"/>
      <c r="J156" s="251"/>
      <c r="K156" s="110"/>
      <c r="L156" s="119"/>
      <c r="M156" s="119"/>
      <c r="N156" s="119"/>
      <c r="P156" s="197"/>
      <c r="Z156" s="192"/>
    </row>
    <row r="157" spans="1:26" s="164" customFormat="1" ht="12.75" x14ac:dyDescent="0.25">
      <c r="A157" s="168">
        <v>7</v>
      </c>
      <c r="B157" s="169"/>
      <c r="C157" s="169"/>
      <c r="D157" s="170" t="s">
        <v>176</v>
      </c>
      <c r="E157" s="125"/>
      <c r="F157" s="171"/>
      <c r="G157" s="172"/>
      <c r="H157" s="128"/>
      <c r="I157" s="252"/>
      <c r="J157" s="126"/>
      <c r="K157" s="173"/>
      <c r="L157" s="173"/>
      <c r="M157" s="127"/>
      <c r="N157" s="129"/>
      <c r="P157" s="197"/>
      <c r="Z157" s="192"/>
    </row>
    <row r="158" spans="1:26" s="164" customFormat="1" ht="12.75" outlineLevel="1" x14ac:dyDescent="0.25">
      <c r="A158" s="175" t="s">
        <v>288</v>
      </c>
      <c r="B158" s="176" t="s">
        <v>145</v>
      </c>
      <c r="C158" s="176"/>
      <c r="D158" s="177" t="s">
        <v>146</v>
      </c>
      <c r="E158" s="178" t="s">
        <v>6</v>
      </c>
      <c r="F158" s="179" t="s">
        <v>59</v>
      </c>
      <c r="G158" s="180"/>
      <c r="H158" s="104">
        <f>H159</f>
        <v>16</v>
      </c>
      <c r="I158" s="223"/>
      <c r="J158" s="105"/>
      <c r="K158" s="181">
        <f>J158</f>
        <v>0</v>
      </c>
      <c r="L158" s="181"/>
      <c r="M158" s="112">
        <f>J158*H158</f>
        <v>0</v>
      </c>
      <c r="N158" s="130">
        <f>M158</f>
        <v>0</v>
      </c>
      <c r="P158" s="182" t="s">
        <v>173</v>
      </c>
      <c r="Z158" s="192"/>
    </row>
    <row r="159" spans="1:26" s="164" customFormat="1" ht="30" outlineLevel="1" x14ac:dyDescent="0.25">
      <c r="A159" s="184" t="s">
        <v>289</v>
      </c>
      <c r="B159" s="185"/>
      <c r="C159" s="186"/>
      <c r="D159" s="187" t="s">
        <v>147</v>
      </c>
      <c r="E159" s="188" t="s">
        <v>90</v>
      </c>
      <c r="F159" s="189" t="s">
        <v>59</v>
      </c>
      <c r="G159" s="190">
        <v>1</v>
      </c>
      <c r="H159" s="103">
        <f>10+6</f>
        <v>16</v>
      </c>
      <c r="I159" s="224"/>
      <c r="J159" s="106"/>
      <c r="K159" s="191">
        <f>I159</f>
        <v>0</v>
      </c>
      <c r="L159" s="191">
        <f>I159*H159</f>
        <v>0</v>
      </c>
      <c r="M159" s="114"/>
      <c r="N159" s="131">
        <f>L159</f>
        <v>0</v>
      </c>
      <c r="P159" s="132"/>
      <c r="Z159" s="192"/>
    </row>
    <row r="160" spans="1:26" s="164" customFormat="1" outlineLevel="1" x14ac:dyDescent="0.25">
      <c r="A160" s="184" t="s">
        <v>290</v>
      </c>
      <c r="B160" s="193"/>
      <c r="C160" s="194"/>
      <c r="D160" s="195" t="s">
        <v>128</v>
      </c>
      <c r="E160" s="188" t="s">
        <v>90</v>
      </c>
      <c r="F160" s="189" t="s">
        <v>59</v>
      </c>
      <c r="G160" s="190">
        <v>1</v>
      </c>
      <c r="H160" s="103">
        <f>H159</f>
        <v>16</v>
      </c>
      <c r="I160" s="224"/>
      <c r="J160" s="133"/>
      <c r="K160" s="191">
        <f>I160</f>
        <v>0</v>
      </c>
      <c r="L160" s="191">
        <f>I160*H160</f>
        <v>0</v>
      </c>
      <c r="M160" s="114"/>
      <c r="N160" s="131">
        <f>L160</f>
        <v>0</v>
      </c>
      <c r="P160" s="132"/>
      <c r="Z160" s="192"/>
    </row>
    <row r="161" spans="1:26" s="164" customFormat="1" ht="76.5" outlineLevel="1" x14ac:dyDescent="0.25">
      <c r="A161" s="175" t="s">
        <v>291</v>
      </c>
      <c r="B161" s="176"/>
      <c r="C161" s="176"/>
      <c r="D161" s="177" t="s">
        <v>149</v>
      </c>
      <c r="E161" s="178" t="s">
        <v>6</v>
      </c>
      <c r="F161" s="179" t="s">
        <v>89</v>
      </c>
      <c r="G161" s="180"/>
      <c r="H161" s="104">
        <f>23+29*4+60+85*4</f>
        <v>539</v>
      </c>
      <c r="I161" s="223"/>
      <c r="J161" s="105"/>
      <c r="K161" s="181">
        <f>J161</f>
        <v>0</v>
      </c>
      <c r="L161" s="181"/>
      <c r="M161" s="112">
        <f>J161*H161</f>
        <v>0</v>
      </c>
      <c r="N161" s="130">
        <f>M161</f>
        <v>0</v>
      </c>
      <c r="P161" s="182" t="s">
        <v>174</v>
      </c>
      <c r="Z161" s="192"/>
    </row>
    <row r="162" spans="1:26" s="164" customFormat="1" ht="38.25" outlineLevel="1" x14ac:dyDescent="0.25">
      <c r="A162" s="184" t="s">
        <v>292</v>
      </c>
      <c r="B162" s="185"/>
      <c r="C162" s="186"/>
      <c r="D162" s="206" t="s">
        <v>125</v>
      </c>
      <c r="E162" s="188" t="s">
        <v>90</v>
      </c>
      <c r="F162" s="189" t="s">
        <v>89</v>
      </c>
      <c r="G162" s="190">
        <v>1.03</v>
      </c>
      <c r="H162" s="103">
        <f>ROUND((23+29*4+60+85*4)*G162,0)</f>
        <v>555</v>
      </c>
      <c r="I162" s="224"/>
      <c r="J162" s="113"/>
      <c r="K162" s="191">
        <f>I162</f>
        <v>0</v>
      </c>
      <c r="L162" s="191">
        <f>I162*H162</f>
        <v>0</v>
      </c>
      <c r="M162" s="114"/>
      <c r="N162" s="131">
        <f>L162</f>
        <v>0</v>
      </c>
      <c r="P162" s="132"/>
      <c r="Z162" s="192"/>
    </row>
    <row r="163" spans="1:26" s="164" customFormat="1" ht="76.5" outlineLevel="1" x14ac:dyDescent="0.25">
      <c r="A163" s="175" t="s">
        <v>293</v>
      </c>
      <c r="B163" s="176"/>
      <c r="C163" s="176"/>
      <c r="D163" s="177" t="s">
        <v>217</v>
      </c>
      <c r="E163" s="178" t="s">
        <v>6</v>
      </c>
      <c r="F163" s="179" t="s">
        <v>89</v>
      </c>
      <c r="G163" s="180"/>
      <c r="H163" s="104">
        <f>19+24+23+24+23+27+15+13+14+14+(84+79+81+58+59+58)</f>
        <v>615</v>
      </c>
      <c r="I163" s="223"/>
      <c r="J163" s="105"/>
      <c r="K163" s="181">
        <f>J163</f>
        <v>0</v>
      </c>
      <c r="L163" s="181"/>
      <c r="M163" s="112">
        <f>J163*H163</f>
        <v>0</v>
      </c>
      <c r="N163" s="130">
        <f>M163</f>
        <v>0</v>
      </c>
      <c r="P163" s="182" t="s">
        <v>174</v>
      </c>
      <c r="Z163" s="192"/>
    </row>
    <row r="164" spans="1:26" s="164" customFormat="1" ht="38.25" outlineLevel="1" x14ac:dyDescent="0.25">
      <c r="A164" s="184" t="s">
        <v>294</v>
      </c>
      <c r="B164" s="185"/>
      <c r="C164" s="186"/>
      <c r="D164" s="206" t="s">
        <v>125</v>
      </c>
      <c r="E164" s="188" t="s">
        <v>90</v>
      </c>
      <c r="F164" s="189" t="s">
        <v>89</v>
      </c>
      <c r="G164" s="190">
        <v>1.03</v>
      </c>
      <c r="H164" s="103">
        <f>ROUND((19+24+23+24+23+27+15+13+14+14+(84+79+81+58+59+58))*G164,0)</f>
        <v>633</v>
      </c>
      <c r="I164" s="224"/>
      <c r="J164" s="113"/>
      <c r="K164" s="191">
        <f>I164</f>
        <v>0</v>
      </c>
      <c r="L164" s="191">
        <f>I164*H164</f>
        <v>0</v>
      </c>
      <c r="M164" s="114"/>
      <c r="N164" s="131">
        <f>L164</f>
        <v>0</v>
      </c>
      <c r="P164" s="132"/>
      <c r="Z164" s="192"/>
    </row>
    <row r="165" spans="1:26" s="164" customFormat="1" outlineLevel="1" x14ac:dyDescent="0.25">
      <c r="A165" s="184" t="s">
        <v>295</v>
      </c>
      <c r="B165" s="193"/>
      <c r="C165" s="194"/>
      <c r="D165" s="195" t="s">
        <v>127</v>
      </c>
      <c r="E165" s="188" t="s">
        <v>90</v>
      </c>
      <c r="F165" s="189" t="s">
        <v>89</v>
      </c>
      <c r="G165" s="190">
        <v>1.1000000000000001</v>
      </c>
      <c r="H165" s="103">
        <f>ROUND((196+419)*G165,0)</f>
        <v>677</v>
      </c>
      <c r="I165" s="224"/>
      <c r="J165" s="133"/>
      <c r="K165" s="191">
        <f t="shared" ref="K165" si="27">I165</f>
        <v>0</v>
      </c>
      <c r="L165" s="191">
        <f t="shared" ref="L165" si="28">I165*H165</f>
        <v>0</v>
      </c>
      <c r="M165" s="114"/>
      <c r="N165" s="131">
        <f t="shared" ref="N165" si="29">L165</f>
        <v>0</v>
      </c>
      <c r="P165" s="132"/>
      <c r="Z165" s="192"/>
    </row>
    <row r="166" spans="1:26" s="164" customFormat="1" x14ac:dyDescent="0.25">
      <c r="A166" s="165"/>
      <c r="B166" s="166"/>
      <c r="C166" s="115"/>
      <c r="D166" s="143" t="s">
        <v>298</v>
      </c>
      <c r="E166" s="107"/>
      <c r="F166" s="107"/>
      <c r="G166" s="107"/>
      <c r="H166" s="108"/>
      <c r="I166" s="250"/>
      <c r="J166" s="251"/>
      <c r="K166" s="110"/>
      <c r="L166" s="119"/>
      <c r="M166" s="119"/>
      <c r="N166" s="119"/>
      <c r="P166" s="197"/>
      <c r="Z166" s="192"/>
    </row>
    <row r="167" spans="1:26" s="164" customFormat="1" ht="12.75" x14ac:dyDescent="0.25">
      <c r="A167" s="168">
        <v>8</v>
      </c>
      <c r="B167" s="169"/>
      <c r="C167" s="169"/>
      <c r="D167" s="170" t="s">
        <v>218</v>
      </c>
      <c r="E167" s="255"/>
      <c r="F167" s="171"/>
      <c r="G167" s="172"/>
      <c r="H167" s="128"/>
      <c r="I167" s="252"/>
      <c r="J167" s="126"/>
      <c r="K167" s="173"/>
      <c r="L167" s="173"/>
      <c r="M167" s="127"/>
      <c r="N167" s="129"/>
      <c r="P167" s="197"/>
      <c r="Z167" s="192"/>
    </row>
    <row r="168" spans="1:26" s="164" customFormat="1" ht="25.5" outlineLevel="1" x14ac:dyDescent="0.25">
      <c r="A168" s="175" t="s">
        <v>296</v>
      </c>
      <c r="B168" s="176" t="s">
        <v>219</v>
      </c>
      <c r="C168" s="176"/>
      <c r="D168" s="177" t="s">
        <v>303</v>
      </c>
      <c r="E168" s="178" t="s">
        <v>6</v>
      </c>
      <c r="F168" s="179" t="s">
        <v>91</v>
      </c>
      <c r="G168" s="180"/>
      <c r="H168" s="104">
        <v>1</v>
      </c>
      <c r="I168" s="223"/>
      <c r="J168" s="105"/>
      <c r="K168" s="181">
        <f>J168</f>
        <v>0</v>
      </c>
      <c r="L168" s="181"/>
      <c r="M168" s="112">
        <f>J168*H168</f>
        <v>0</v>
      </c>
      <c r="N168" s="130">
        <f>M168</f>
        <v>0</v>
      </c>
      <c r="P168" s="182" t="s">
        <v>173</v>
      </c>
      <c r="Z168" s="192"/>
    </row>
    <row r="169" spans="1:26" s="145" customFormat="1" x14ac:dyDescent="0.2">
      <c r="A169" s="165"/>
      <c r="B169" s="166"/>
      <c r="C169" s="115"/>
      <c r="D169" s="115" t="s">
        <v>27</v>
      </c>
      <c r="E169" s="107"/>
      <c r="F169" s="107"/>
      <c r="G169" s="107"/>
      <c r="H169" s="108"/>
      <c r="I169" s="109"/>
      <c r="J169" s="110"/>
      <c r="K169" s="110"/>
      <c r="L169" s="119">
        <f>SUM(L15:L168)</f>
        <v>0</v>
      </c>
      <c r="M169" s="119">
        <f>SUM(M15:M168)</f>
        <v>0</v>
      </c>
      <c r="N169" s="119">
        <f>SUM(N15:N168)</f>
        <v>0</v>
      </c>
      <c r="P169" s="174"/>
    </row>
    <row r="170" spans="1:26" ht="15.75" thickBot="1" x14ac:dyDescent="0.3">
      <c r="A170" s="208"/>
      <c r="B170" s="209"/>
      <c r="C170" s="116"/>
      <c r="D170" s="116" t="s">
        <v>70</v>
      </c>
      <c r="E170" s="116"/>
      <c r="F170" s="116"/>
      <c r="G170" s="139"/>
      <c r="H170" s="124"/>
      <c r="I170" s="140"/>
      <c r="J170" s="116"/>
      <c r="K170" s="116"/>
      <c r="L170" s="118"/>
      <c r="M170" s="118"/>
      <c r="N170" s="117">
        <f>N169/1.22*0.22</f>
        <v>0</v>
      </c>
      <c r="P170" s="174"/>
    </row>
    <row r="171" spans="1:26" s="213" customFormat="1" x14ac:dyDescent="0.25">
      <c r="A171" s="210" t="s">
        <v>71</v>
      </c>
      <c r="B171" s="211"/>
      <c r="C171" s="211"/>
      <c r="D171" s="211"/>
      <c r="E171" s="211"/>
      <c r="F171" s="211"/>
      <c r="G171" s="211"/>
      <c r="H171" s="211"/>
      <c r="I171" s="211"/>
      <c r="J171" s="211"/>
      <c r="K171" s="211"/>
      <c r="L171" s="211"/>
      <c r="M171" s="211"/>
      <c r="N171" s="212"/>
      <c r="P171" s="174"/>
    </row>
    <row r="172" spans="1:26" s="213" customFormat="1" x14ac:dyDescent="0.25">
      <c r="A172" s="228" t="s">
        <v>12</v>
      </c>
      <c r="B172" s="229"/>
      <c r="C172" s="229"/>
      <c r="D172" s="230" t="s">
        <v>72</v>
      </c>
      <c r="E172" s="229"/>
      <c r="F172" s="229"/>
      <c r="G172" s="229"/>
      <c r="H172" s="229"/>
      <c r="I172" s="229"/>
      <c r="J172" s="229"/>
      <c r="K172" s="229"/>
      <c r="L172" s="229"/>
      <c r="M172" s="229"/>
      <c r="N172" s="231"/>
      <c r="P172" s="174"/>
    </row>
    <row r="173" spans="1:26" s="214" customFormat="1" x14ac:dyDescent="0.25">
      <c r="A173" s="228" t="s">
        <v>7</v>
      </c>
      <c r="B173" s="229"/>
      <c r="C173" s="229"/>
      <c r="D173" s="230" t="s">
        <v>73</v>
      </c>
      <c r="E173" s="229"/>
      <c r="F173" s="229"/>
      <c r="G173" s="229"/>
      <c r="H173" s="229"/>
      <c r="I173" s="229"/>
      <c r="J173" s="229"/>
      <c r="K173" s="229"/>
      <c r="L173" s="229"/>
      <c r="M173" s="229"/>
      <c r="N173" s="231"/>
      <c r="P173" s="174"/>
    </row>
    <row r="174" spans="1:26" s="214" customFormat="1" x14ac:dyDescent="0.25">
      <c r="A174" s="228" t="s">
        <v>60</v>
      </c>
      <c r="B174" s="229"/>
      <c r="C174" s="229"/>
      <c r="D174" s="230" t="s">
        <v>74</v>
      </c>
      <c r="E174" s="229"/>
      <c r="F174" s="229"/>
      <c r="G174" s="229"/>
      <c r="H174" s="229"/>
      <c r="I174" s="229"/>
      <c r="J174" s="229"/>
      <c r="K174" s="229"/>
      <c r="L174" s="229"/>
      <c r="M174" s="229"/>
      <c r="N174" s="231"/>
      <c r="P174" s="174"/>
    </row>
    <row r="175" spans="1:26" s="214" customFormat="1" ht="25.5" x14ac:dyDescent="0.25">
      <c r="A175" s="228" t="s">
        <v>61</v>
      </c>
      <c r="B175" s="229"/>
      <c r="C175" s="229"/>
      <c r="D175" s="230" t="s">
        <v>75</v>
      </c>
      <c r="E175" s="229"/>
      <c r="F175" s="229"/>
      <c r="G175" s="229"/>
      <c r="H175" s="229"/>
      <c r="I175" s="229"/>
      <c r="J175" s="229"/>
      <c r="K175" s="229"/>
      <c r="L175" s="229"/>
      <c r="M175" s="229"/>
      <c r="N175" s="231"/>
      <c r="P175" s="174"/>
    </row>
    <row r="176" spans="1:26" s="213" customFormat="1" x14ac:dyDescent="0.25">
      <c r="A176" s="232" t="s">
        <v>62</v>
      </c>
      <c r="B176" s="233"/>
      <c r="C176" s="233"/>
      <c r="D176" s="230" t="s">
        <v>76</v>
      </c>
      <c r="E176" s="234"/>
      <c r="F176" s="234"/>
      <c r="G176" s="234"/>
      <c r="H176" s="234"/>
      <c r="I176" s="235"/>
      <c r="J176" s="235"/>
      <c r="K176" s="235"/>
      <c r="L176" s="235"/>
      <c r="M176" s="235"/>
      <c r="N176" s="236"/>
      <c r="P176" s="174"/>
    </row>
    <row r="177" spans="1:16" s="213" customFormat="1" ht="15.75" x14ac:dyDescent="0.25">
      <c r="A177" s="228" t="s">
        <v>83</v>
      </c>
      <c r="B177" s="120"/>
      <c r="C177" s="120"/>
      <c r="D177" s="230" t="s">
        <v>77</v>
      </c>
      <c r="E177" s="121"/>
      <c r="F177" s="121"/>
      <c r="G177" s="120"/>
      <c r="H177" s="122"/>
      <c r="I177" s="121"/>
      <c r="J177" s="121"/>
      <c r="K177" s="120"/>
      <c r="L177" s="120"/>
      <c r="M177" s="121"/>
      <c r="N177" s="123"/>
      <c r="P177" s="174"/>
    </row>
    <row r="178" spans="1:16" x14ac:dyDescent="0.25">
      <c r="A178" s="237">
        <v>7</v>
      </c>
      <c r="B178" s="238"/>
      <c r="C178" s="238"/>
      <c r="D178" s="230" t="s">
        <v>78</v>
      </c>
      <c r="E178" s="239"/>
      <c r="F178" s="238"/>
      <c r="G178" s="238"/>
      <c r="H178" s="240"/>
      <c r="I178" s="240"/>
      <c r="J178" s="238"/>
      <c r="K178" s="238"/>
      <c r="L178" s="238"/>
      <c r="M178" s="238"/>
      <c r="N178" s="241"/>
      <c r="P178" s="174"/>
    </row>
    <row r="179" spans="1:16" x14ac:dyDescent="0.25">
      <c r="A179" s="237">
        <v>8</v>
      </c>
      <c r="B179" s="238"/>
      <c r="C179" s="238"/>
      <c r="D179" s="230" t="s">
        <v>79</v>
      </c>
      <c r="E179" s="239"/>
      <c r="F179" s="238"/>
      <c r="G179" s="238"/>
      <c r="H179" s="240"/>
      <c r="I179" s="240"/>
      <c r="J179" s="238"/>
      <c r="K179" s="238"/>
      <c r="L179" s="238"/>
      <c r="M179" s="238"/>
      <c r="N179" s="241"/>
      <c r="P179" s="174"/>
    </row>
    <row r="180" spans="1:16" x14ac:dyDescent="0.25">
      <c r="A180" s="237">
        <v>9</v>
      </c>
      <c r="B180" s="238"/>
      <c r="C180" s="238"/>
      <c r="D180" s="230" t="s">
        <v>80</v>
      </c>
      <c r="E180" s="239"/>
      <c r="F180" s="238"/>
      <c r="G180" s="238"/>
      <c r="H180" s="240"/>
      <c r="I180" s="240"/>
      <c r="J180" s="238"/>
      <c r="K180" s="238"/>
      <c r="L180" s="238"/>
      <c r="M180" s="238"/>
      <c r="N180" s="241"/>
      <c r="P180" s="215"/>
    </row>
    <row r="181" spans="1:16" x14ac:dyDescent="0.25">
      <c r="A181" s="237">
        <v>10</v>
      </c>
      <c r="B181" s="238"/>
      <c r="C181" s="238"/>
      <c r="D181" s="242" t="s">
        <v>81</v>
      </c>
      <c r="E181" s="239"/>
      <c r="F181" s="238"/>
      <c r="G181" s="238"/>
      <c r="H181" s="240"/>
      <c r="I181" s="240"/>
      <c r="J181" s="238"/>
      <c r="K181" s="238"/>
      <c r="L181" s="238"/>
      <c r="M181" s="238"/>
      <c r="N181" s="241"/>
      <c r="P181" s="174"/>
    </row>
    <row r="182" spans="1:16" ht="15.75" thickBot="1" x14ac:dyDescent="0.3">
      <c r="A182" s="243">
        <v>11</v>
      </c>
      <c r="B182" s="244"/>
      <c r="C182" s="244"/>
      <c r="D182" s="245" t="s">
        <v>82</v>
      </c>
      <c r="E182" s="246"/>
      <c r="F182" s="244"/>
      <c r="G182" s="244"/>
      <c r="H182" s="247"/>
      <c r="I182" s="247"/>
      <c r="J182" s="244"/>
      <c r="K182" s="244"/>
      <c r="L182" s="244"/>
      <c r="M182" s="244"/>
      <c r="N182" s="248"/>
      <c r="P182" s="174"/>
    </row>
    <row r="183" spans="1:16" x14ac:dyDescent="0.25">
      <c r="P183" s="220"/>
    </row>
    <row r="184" spans="1:16" x14ac:dyDescent="0.25">
      <c r="P184" s="220"/>
    </row>
    <row r="185" spans="1:16" x14ac:dyDescent="0.25">
      <c r="P185" s="220"/>
    </row>
    <row r="186" spans="1:16" x14ac:dyDescent="0.25">
      <c r="P186" s="220"/>
    </row>
    <row r="187" spans="1:16" x14ac:dyDescent="0.25">
      <c r="P187" s="221"/>
    </row>
    <row r="188" spans="1:16" x14ac:dyDescent="0.25">
      <c r="P188" s="220"/>
    </row>
    <row r="189" spans="1:16" x14ac:dyDescent="0.25">
      <c r="P189" s="220"/>
    </row>
    <row r="190" spans="1:16" x14ac:dyDescent="0.25">
      <c r="P190" s="220"/>
    </row>
    <row r="191" spans="1:16" x14ac:dyDescent="0.25">
      <c r="P191" s="220"/>
    </row>
    <row r="192" spans="1:16" x14ac:dyDescent="0.25">
      <c r="P192" s="220"/>
    </row>
    <row r="193" spans="16:16" x14ac:dyDescent="0.25">
      <c r="P193" s="220"/>
    </row>
    <row r="194" spans="16:16" x14ac:dyDescent="0.25">
      <c r="P194" s="220"/>
    </row>
    <row r="195" spans="16:16" x14ac:dyDescent="0.25">
      <c r="P195" s="220"/>
    </row>
    <row r="196" spans="16:16" x14ac:dyDescent="0.25">
      <c r="P196" s="220"/>
    </row>
    <row r="197" spans="16:16" x14ac:dyDescent="0.25">
      <c r="P197" s="220"/>
    </row>
    <row r="198" spans="16:16" x14ac:dyDescent="0.25">
      <c r="P198" s="220"/>
    </row>
    <row r="199" spans="16:16" x14ac:dyDescent="0.25">
      <c r="P199" s="220"/>
    </row>
    <row r="200" spans="16:16" x14ac:dyDescent="0.25">
      <c r="P200" s="220"/>
    </row>
    <row r="201" spans="16:16" x14ac:dyDescent="0.25">
      <c r="P201" s="220"/>
    </row>
    <row r="202" spans="16:16" x14ac:dyDescent="0.25">
      <c r="P202" s="220"/>
    </row>
    <row r="203" spans="16:16" x14ac:dyDescent="0.25">
      <c r="P203" s="220"/>
    </row>
    <row r="204" spans="16:16" x14ac:dyDescent="0.25">
      <c r="P204" s="221"/>
    </row>
    <row r="205" spans="16:16" x14ac:dyDescent="0.25">
      <c r="P205" s="220"/>
    </row>
    <row r="206" spans="16:16" x14ac:dyDescent="0.25">
      <c r="P206" s="220"/>
    </row>
    <row r="207" spans="16:16" x14ac:dyDescent="0.25">
      <c r="P207" s="220"/>
    </row>
    <row r="208" spans="16:16" x14ac:dyDescent="0.25">
      <c r="P208" s="220"/>
    </row>
    <row r="209" spans="16:16" x14ac:dyDescent="0.25">
      <c r="P209" s="220"/>
    </row>
    <row r="210" spans="16:16" x14ac:dyDescent="0.25">
      <c r="P210" s="221"/>
    </row>
    <row r="211" spans="16:16" x14ac:dyDescent="0.25">
      <c r="P211" s="220"/>
    </row>
    <row r="212" spans="16:16" x14ac:dyDescent="0.25">
      <c r="P212" s="220"/>
    </row>
    <row r="213" spans="16:16" x14ac:dyDescent="0.25">
      <c r="P213" s="220"/>
    </row>
    <row r="214" spans="16:16" x14ac:dyDescent="0.25">
      <c r="P214" s="221"/>
    </row>
    <row r="215" spans="16:16" x14ac:dyDescent="0.25">
      <c r="P215" s="220"/>
    </row>
    <row r="216" spans="16:16" x14ac:dyDescent="0.25">
      <c r="P216" s="220"/>
    </row>
    <row r="217" spans="16:16" x14ac:dyDescent="0.25">
      <c r="P217" s="220"/>
    </row>
    <row r="218" spans="16:16" x14ac:dyDescent="0.25">
      <c r="P218" s="220"/>
    </row>
    <row r="219" spans="16:16" x14ac:dyDescent="0.25">
      <c r="P219" s="220"/>
    </row>
    <row r="220" spans="16:16" x14ac:dyDescent="0.25">
      <c r="P220" s="221"/>
    </row>
    <row r="221" spans="16:16" x14ac:dyDescent="0.25">
      <c r="P221" s="220"/>
    </row>
    <row r="222" spans="16:16" x14ac:dyDescent="0.25">
      <c r="P222" s="220"/>
    </row>
    <row r="223" spans="16:16" x14ac:dyDescent="0.25">
      <c r="P223" s="220"/>
    </row>
    <row r="224" spans="16:16" x14ac:dyDescent="0.25">
      <c r="P224" s="220"/>
    </row>
    <row r="225" spans="16:16" x14ac:dyDescent="0.25">
      <c r="P225" s="220"/>
    </row>
    <row r="226" spans="16:16" x14ac:dyDescent="0.25">
      <c r="P226" s="220"/>
    </row>
    <row r="227" spans="16:16" x14ac:dyDescent="0.25">
      <c r="P227" s="220"/>
    </row>
    <row r="228" spans="16:16" x14ac:dyDescent="0.25">
      <c r="P228" s="220"/>
    </row>
    <row r="229" spans="16:16" x14ac:dyDescent="0.25">
      <c r="P229" s="220"/>
    </row>
    <row r="230" spans="16:16" x14ac:dyDescent="0.25">
      <c r="P230" s="220"/>
    </row>
    <row r="231" spans="16:16" x14ac:dyDescent="0.25">
      <c r="P231" s="220"/>
    </row>
    <row r="232" spans="16:16" x14ac:dyDescent="0.25">
      <c r="P232" s="220"/>
    </row>
    <row r="233" spans="16:16" x14ac:dyDescent="0.25">
      <c r="P233" s="220"/>
    </row>
    <row r="234" spans="16:16" x14ac:dyDescent="0.25">
      <c r="P234" s="220"/>
    </row>
    <row r="235" spans="16:16" x14ac:dyDescent="0.25">
      <c r="P235" s="220"/>
    </row>
    <row r="236" spans="16:16" x14ac:dyDescent="0.25">
      <c r="P236" s="220"/>
    </row>
    <row r="237" spans="16:16" x14ac:dyDescent="0.25">
      <c r="P237" s="220"/>
    </row>
    <row r="238" spans="16:16" x14ac:dyDescent="0.25">
      <c r="P238" s="220"/>
    </row>
    <row r="239" spans="16:16" x14ac:dyDescent="0.25">
      <c r="P239" s="220"/>
    </row>
    <row r="240" spans="16:16" x14ac:dyDescent="0.25">
      <c r="P240" s="220"/>
    </row>
    <row r="241" spans="16:16" x14ac:dyDescent="0.25">
      <c r="P241" s="220"/>
    </row>
    <row r="242" spans="16:16" x14ac:dyDescent="0.25">
      <c r="P242" s="220"/>
    </row>
    <row r="243" spans="16:16" x14ac:dyDescent="0.25">
      <c r="P243" s="220"/>
    </row>
    <row r="244" spans="16:16" x14ac:dyDescent="0.25">
      <c r="P244" s="220"/>
    </row>
    <row r="245" spans="16:16" x14ac:dyDescent="0.25">
      <c r="P245" s="220"/>
    </row>
    <row r="246" spans="16:16" x14ac:dyDescent="0.25">
      <c r="P246" s="220"/>
    </row>
    <row r="247" spans="16:16" x14ac:dyDescent="0.25">
      <c r="P247" s="220"/>
    </row>
    <row r="248" spans="16:16" x14ac:dyDescent="0.25">
      <c r="P248" s="220"/>
    </row>
    <row r="249" spans="16:16" x14ac:dyDescent="0.25">
      <c r="P249" s="220"/>
    </row>
    <row r="250" spans="16:16" x14ac:dyDescent="0.25">
      <c r="P250" s="220"/>
    </row>
    <row r="251" spans="16:16" x14ac:dyDescent="0.25">
      <c r="P251" s="220"/>
    </row>
    <row r="252" spans="16:16" x14ac:dyDescent="0.25">
      <c r="P252" s="220"/>
    </row>
    <row r="253" spans="16:16" x14ac:dyDescent="0.25">
      <c r="P253" s="220"/>
    </row>
    <row r="254" spans="16:16" x14ac:dyDescent="0.25">
      <c r="P254" s="220"/>
    </row>
    <row r="255" spans="16:16" x14ac:dyDescent="0.25">
      <c r="P255" s="220"/>
    </row>
    <row r="256" spans="16:16" x14ac:dyDescent="0.25">
      <c r="P256" s="220"/>
    </row>
    <row r="257" spans="16:16" x14ac:dyDescent="0.25">
      <c r="P257" s="220"/>
    </row>
    <row r="258" spans="16:16" x14ac:dyDescent="0.25">
      <c r="P258" s="220"/>
    </row>
    <row r="259" spans="16:16" x14ac:dyDescent="0.25">
      <c r="P259" s="220"/>
    </row>
    <row r="260" spans="16:16" x14ac:dyDescent="0.25">
      <c r="P260" s="220"/>
    </row>
    <row r="261" spans="16:16" x14ac:dyDescent="0.25">
      <c r="P261" s="220"/>
    </row>
    <row r="262" spans="16:16" x14ac:dyDescent="0.25">
      <c r="P262" s="220"/>
    </row>
    <row r="263" spans="16:16" x14ac:dyDescent="0.25">
      <c r="P263" s="220"/>
    </row>
    <row r="264" spans="16:16" x14ac:dyDescent="0.25">
      <c r="P264" s="220"/>
    </row>
    <row r="265" spans="16:16" x14ac:dyDescent="0.25">
      <c r="P265" s="220"/>
    </row>
    <row r="266" spans="16:16" x14ac:dyDescent="0.25">
      <c r="P266" s="220"/>
    </row>
    <row r="267" spans="16:16" x14ac:dyDescent="0.25">
      <c r="P267" s="220"/>
    </row>
    <row r="268" spans="16:16" x14ac:dyDescent="0.25">
      <c r="P268" s="220"/>
    </row>
    <row r="269" spans="16:16" x14ac:dyDescent="0.25">
      <c r="P269" s="220"/>
    </row>
    <row r="270" spans="16:16" x14ac:dyDescent="0.25">
      <c r="P270" s="220"/>
    </row>
    <row r="271" spans="16:16" x14ac:dyDescent="0.25">
      <c r="P271" s="220"/>
    </row>
    <row r="272" spans="16:16" x14ac:dyDescent="0.25">
      <c r="P272" s="220"/>
    </row>
    <row r="273" spans="16:16" x14ac:dyDescent="0.25">
      <c r="P273" s="220"/>
    </row>
    <row r="274" spans="16:16" x14ac:dyDescent="0.25">
      <c r="P274" s="220"/>
    </row>
    <row r="275" spans="16:16" x14ac:dyDescent="0.25">
      <c r="P275" s="220"/>
    </row>
    <row r="276" spans="16:16" x14ac:dyDescent="0.25">
      <c r="P276" s="220"/>
    </row>
    <row r="277" spans="16:16" x14ac:dyDescent="0.25">
      <c r="P277" s="220"/>
    </row>
    <row r="278" spans="16:16" x14ac:dyDescent="0.25">
      <c r="P278" s="220"/>
    </row>
    <row r="279" spans="16:16" x14ac:dyDescent="0.25">
      <c r="P279" s="220"/>
    </row>
    <row r="280" spans="16:16" x14ac:dyDescent="0.25">
      <c r="P280" s="220"/>
    </row>
    <row r="281" spans="16:16" x14ac:dyDescent="0.25">
      <c r="P281" s="220"/>
    </row>
    <row r="282" spans="16:16" x14ac:dyDescent="0.25">
      <c r="P282" s="220"/>
    </row>
    <row r="283" spans="16:16" x14ac:dyDescent="0.25">
      <c r="P283" s="220"/>
    </row>
    <row r="284" spans="16:16" x14ac:dyDescent="0.25">
      <c r="P284" s="220"/>
    </row>
    <row r="285" spans="16:16" x14ac:dyDescent="0.25">
      <c r="P285" s="220"/>
    </row>
    <row r="286" spans="16:16" x14ac:dyDescent="0.25">
      <c r="P286" s="220"/>
    </row>
    <row r="287" spans="16:16" x14ac:dyDescent="0.25">
      <c r="P287" s="220"/>
    </row>
    <row r="288" spans="16:16" x14ac:dyDescent="0.25">
      <c r="P288" s="220"/>
    </row>
    <row r="289" spans="16:16" x14ac:dyDescent="0.25">
      <c r="P289" s="220"/>
    </row>
    <row r="290" spans="16:16" x14ac:dyDescent="0.25">
      <c r="P290" s="220"/>
    </row>
    <row r="291" spans="16:16" x14ac:dyDescent="0.25">
      <c r="P291" s="220"/>
    </row>
    <row r="292" spans="16:16" x14ac:dyDescent="0.25">
      <c r="P292" s="220"/>
    </row>
    <row r="293" spans="16:16" x14ac:dyDescent="0.25">
      <c r="P293" s="220"/>
    </row>
    <row r="294" spans="16:16" x14ac:dyDescent="0.25">
      <c r="P294" s="220"/>
    </row>
    <row r="295" spans="16:16" x14ac:dyDescent="0.25">
      <c r="P295" s="220"/>
    </row>
    <row r="296" spans="16:16" x14ac:dyDescent="0.25">
      <c r="P296" s="220"/>
    </row>
    <row r="297" spans="16:16" x14ac:dyDescent="0.25">
      <c r="P297" s="220"/>
    </row>
    <row r="298" spans="16:16" x14ac:dyDescent="0.25">
      <c r="P298" s="220"/>
    </row>
    <row r="299" spans="16:16" x14ac:dyDescent="0.25">
      <c r="P299" s="220"/>
    </row>
    <row r="300" spans="16:16" x14ac:dyDescent="0.25">
      <c r="P300" s="220"/>
    </row>
    <row r="301" spans="16:16" x14ac:dyDescent="0.25">
      <c r="P301" s="220"/>
    </row>
    <row r="302" spans="16:16" x14ac:dyDescent="0.25">
      <c r="P302" s="220"/>
    </row>
    <row r="303" spans="16:16" x14ac:dyDescent="0.25">
      <c r="P303" s="220"/>
    </row>
    <row r="304" spans="16:16" x14ac:dyDescent="0.25">
      <c r="P304" s="220"/>
    </row>
    <row r="305" spans="16:16" x14ac:dyDescent="0.25">
      <c r="P305" s="220"/>
    </row>
    <row r="306" spans="16:16" x14ac:dyDescent="0.25">
      <c r="P306" s="220"/>
    </row>
    <row r="307" spans="16:16" x14ac:dyDescent="0.25">
      <c r="P307" s="220"/>
    </row>
    <row r="308" spans="16:16" x14ac:dyDescent="0.25">
      <c r="P308" s="220"/>
    </row>
    <row r="309" spans="16:16" x14ac:dyDescent="0.25">
      <c r="P309" s="220"/>
    </row>
    <row r="310" spans="16:16" x14ac:dyDescent="0.25">
      <c r="P310" s="220"/>
    </row>
    <row r="311" spans="16:16" x14ac:dyDescent="0.25">
      <c r="P311" s="220"/>
    </row>
    <row r="312" spans="16:16" x14ac:dyDescent="0.25">
      <c r="P312" s="220"/>
    </row>
    <row r="313" spans="16:16" x14ac:dyDescent="0.25">
      <c r="P313" s="220"/>
    </row>
    <row r="314" spans="16:16" x14ac:dyDescent="0.25">
      <c r="P314" s="220"/>
    </row>
    <row r="315" spans="16:16" x14ac:dyDescent="0.25">
      <c r="P315" s="220"/>
    </row>
    <row r="316" spans="16:16" x14ac:dyDescent="0.25">
      <c r="P316" s="220"/>
    </row>
    <row r="317" spans="16:16" x14ac:dyDescent="0.25">
      <c r="P317" s="220"/>
    </row>
    <row r="318" spans="16:16" x14ac:dyDescent="0.25">
      <c r="P318" s="220"/>
    </row>
    <row r="319" spans="16:16" x14ac:dyDescent="0.25">
      <c r="P319" s="220"/>
    </row>
    <row r="320" spans="16:16" x14ac:dyDescent="0.25">
      <c r="P320" s="220"/>
    </row>
    <row r="321" spans="16:16" x14ac:dyDescent="0.25">
      <c r="P321" s="220"/>
    </row>
    <row r="322" spans="16:16" x14ac:dyDescent="0.25">
      <c r="P322" s="220"/>
    </row>
    <row r="323" spans="16:16" x14ac:dyDescent="0.25">
      <c r="P323" s="220"/>
    </row>
    <row r="324" spans="16:16" x14ac:dyDescent="0.25">
      <c r="P324" s="220"/>
    </row>
    <row r="325" spans="16:16" x14ac:dyDescent="0.25">
      <c r="P325" s="220"/>
    </row>
    <row r="326" spans="16:16" x14ac:dyDescent="0.25">
      <c r="P326" s="220"/>
    </row>
    <row r="327" spans="16:16" x14ac:dyDescent="0.25">
      <c r="P327" s="220"/>
    </row>
    <row r="328" spans="16:16" x14ac:dyDescent="0.25">
      <c r="P328" s="220"/>
    </row>
    <row r="329" spans="16:16" x14ac:dyDescent="0.25">
      <c r="P329" s="220"/>
    </row>
    <row r="330" spans="16:16" x14ac:dyDescent="0.25">
      <c r="P330" s="220"/>
    </row>
    <row r="331" spans="16:16" x14ac:dyDescent="0.25">
      <c r="P331" s="220"/>
    </row>
    <row r="332" spans="16:16" x14ac:dyDescent="0.25">
      <c r="P332" s="220"/>
    </row>
    <row r="333" spans="16:16" x14ac:dyDescent="0.25">
      <c r="P333" s="220"/>
    </row>
    <row r="334" spans="16:16" x14ac:dyDescent="0.25">
      <c r="P334" s="220"/>
    </row>
    <row r="335" spans="16:16" x14ac:dyDescent="0.25">
      <c r="P335" s="220"/>
    </row>
    <row r="336" spans="16:16" x14ac:dyDescent="0.25">
      <c r="P336" s="220"/>
    </row>
    <row r="337" spans="16:16" x14ac:dyDescent="0.25">
      <c r="P337" s="220"/>
    </row>
    <row r="338" spans="16:16" x14ac:dyDescent="0.25">
      <c r="P338" s="220"/>
    </row>
    <row r="339" spans="16:16" x14ac:dyDescent="0.25">
      <c r="P339" s="220"/>
    </row>
    <row r="340" spans="16:16" x14ac:dyDescent="0.25">
      <c r="P340" s="220"/>
    </row>
    <row r="341" spans="16:16" x14ac:dyDescent="0.25">
      <c r="P341" s="220"/>
    </row>
    <row r="342" spans="16:16" x14ac:dyDescent="0.25">
      <c r="P342" s="220"/>
    </row>
    <row r="343" spans="16:16" x14ac:dyDescent="0.25">
      <c r="P343" s="220"/>
    </row>
    <row r="344" spans="16:16" x14ac:dyDescent="0.25">
      <c r="P344" s="220"/>
    </row>
    <row r="345" spans="16:16" x14ac:dyDescent="0.25">
      <c r="P345" s="220"/>
    </row>
    <row r="346" spans="16:16" x14ac:dyDescent="0.25">
      <c r="P346" s="220"/>
    </row>
    <row r="347" spans="16:16" x14ac:dyDescent="0.25">
      <c r="P347" s="220"/>
    </row>
    <row r="348" spans="16:16" x14ac:dyDescent="0.25">
      <c r="P348" s="220"/>
    </row>
    <row r="349" spans="16:16" x14ac:dyDescent="0.25">
      <c r="P349" s="220"/>
    </row>
    <row r="350" spans="16:16" x14ac:dyDescent="0.25">
      <c r="P350" s="220"/>
    </row>
    <row r="351" spans="16:16" x14ac:dyDescent="0.25">
      <c r="P351" s="220"/>
    </row>
    <row r="352" spans="16:16" x14ac:dyDescent="0.25">
      <c r="P352" s="220"/>
    </row>
    <row r="353" spans="16:16" x14ac:dyDescent="0.25">
      <c r="P353" s="220"/>
    </row>
    <row r="354" spans="16:16" x14ac:dyDescent="0.25">
      <c r="P354" s="220"/>
    </row>
    <row r="355" spans="16:16" x14ac:dyDescent="0.25">
      <c r="P355" s="220"/>
    </row>
    <row r="356" spans="16:16" x14ac:dyDescent="0.25">
      <c r="P356" s="220"/>
    </row>
    <row r="357" spans="16:16" x14ac:dyDescent="0.25">
      <c r="P357" s="220"/>
    </row>
    <row r="358" spans="16:16" x14ac:dyDescent="0.25">
      <c r="P358" s="220"/>
    </row>
    <row r="359" spans="16:16" x14ac:dyDescent="0.25">
      <c r="P359" s="220"/>
    </row>
    <row r="360" spans="16:16" x14ac:dyDescent="0.25">
      <c r="P360" s="220"/>
    </row>
    <row r="361" spans="16:16" x14ac:dyDescent="0.25">
      <c r="P361" s="220"/>
    </row>
    <row r="362" spans="16:16" x14ac:dyDescent="0.25">
      <c r="P362" s="220"/>
    </row>
    <row r="363" spans="16:16" x14ac:dyDescent="0.25">
      <c r="P363" s="220"/>
    </row>
    <row r="364" spans="16:16" x14ac:dyDescent="0.25">
      <c r="P364" s="220"/>
    </row>
    <row r="365" spans="16:16" x14ac:dyDescent="0.25">
      <c r="P365" s="220"/>
    </row>
    <row r="366" spans="16:16" x14ac:dyDescent="0.25">
      <c r="P366" s="220"/>
    </row>
    <row r="367" spans="16:16" x14ac:dyDescent="0.25">
      <c r="P367" s="220"/>
    </row>
    <row r="368" spans="16:16" x14ac:dyDescent="0.25">
      <c r="P368" s="220"/>
    </row>
    <row r="369" spans="16:16" x14ac:dyDescent="0.25">
      <c r="P369" s="220"/>
    </row>
    <row r="370" spans="16:16" x14ac:dyDescent="0.25">
      <c r="P370" s="220"/>
    </row>
    <row r="371" spans="16:16" x14ac:dyDescent="0.25">
      <c r="P371" s="220"/>
    </row>
    <row r="372" spans="16:16" x14ac:dyDescent="0.25">
      <c r="P372" s="220"/>
    </row>
    <row r="373" spans="16:16" x14ac:dyDescent="0.25">
      <c r="P373" s="220"/>
    </row>
    <row r="374" spans="16:16" x14ac:dyDescent="0.25">
      <c r="P374" s="220"/>
    </row>
    <row r="375" spans="16:16" x14ac:dyDescent="0.25">
      <c r="P375" s="220"/>
    </row>
    <row r="376" spans="16:16" x14ac:dyDescent="0.25">
      <c r="P376" s="220"/>
    </row>
    <row r="377" spans="16:16" x14ac:dyDescent="0.25">
      <c r="P377" s="220"/>
    </row>
    <row r="378" spans="16:16" x14ac:dyDescent="0.25">
      <c r="P378" s="220"/>
    </row>
    <row r="379" spans="16:16" x14ac:dyDescent="0.25">
      <c r="P379" s="220"/>
    </row>
    <row r="380" spans="16:16" x14ac:dyDescent="0.25">
      <c r="P380" s="220"/>
    </row>
    <row r="381" spans="16:16" x14ac:dyDescent="0.25">
      <c r="P381" s="220"/>
    </row>
    <row r="382" spans="16:16" x14ac:dyDescent="0.25">
      <c r="P382" s="220"/>
    </row>
    <row r="383" spans="16:16" x14ac:dyDescent="0.25">
      <c r="P383" s="220"/>
    </row>
    <row r="384" spans="16:16" x14ac:dyDescent="0.25">
      <c r="P384" s="220"/>
    </row>
    <row r="385" spans="16:16" x14ac:dyDescent="0.25">
      <c r="P385" s="220"/>
    </row>
    <row r="386" spans="16:16" x14ac:dyDescent="0.25">
      <c r="P386" s="220"/>
    </row>
    <row r="387" spans="16:16" x14ac:dyDescent="0.25">
      <c r="P387" s="220"/>
    </row>
    <row r="388" spans="16:16" x14ac:dyDescent="0.25">
      <c r="P388" s="220"/>
    </row>
    <row r="389" spans="16:16" x14ac:dyDescent="0.25">
      <c r="P389" s="220"/>
    </row>
    <row r="390" spans="16:16" x14ac:dyDescent="0.25">
      <c r="P390" s="220"/>
    </row>
    <row r="391" spans="16:16" x14ac:dyDescent="0.25">
      <c r="P391" s="220"/>
    </row>
    <row r="392" spans="16:16" x14ac:dyDescent="0.25">
      <c r="P392" s="220"/>
    </row>
    <row r="393" spans="16:16" x14ac:dyDescent="0.25">
      <c r="P393" s="220"/>
    </row>
    <row r="394" spans="16:16" x14ac:dyDescent="0.25">
      <c r="P394" s="220"/>
    </row>
    <row r="395" spans="16:16" x14ac:dyDescent="0.25">
      <c r="P395" s="220"/>
    </row>
    <row r="396" spans="16:16" x14ac:dyDescent="0.25">
      <c r="P396" s="220"/>
    </row>
    <row r="397" spans="16:16" x14ac:dyDescent="0.25">
      <c r="P397" s="220"/>
    </row>
    <row r="398" spans="16:16" x14ac:dyDescent="0.25">
      <c r="P398" s="220"/>
    </row>
    <row r="399" spans="16:16" x14ac:dyDescent="0.25">
      <c r="P399" s="220"/>
    </row>
    <row r="400" spans="16:16" x14ac:dyDescent="0.25">
      <c r="P400" s="220"/>
    </row>
    <row r="401" spans="16:16" x14ac:dyDescent="0.25">
      <c r="P401" s="220"/>
    </row>
    <row r="402" spans="16:16" x14ac:dyDescent="0.25">
      <c r="P402" s="220"/>
    </row>
    <row r="403" spans="16:16" x14ac:dyDescent="0.25">
      <c r="P403" s="220"/>
    </row>
    <row r="404" spans="16:16" x14ac:dyDescent="0.25">
      <c r="P404" s="220"/>
    </row>
    <row r="405" spans="16:16" x14ac:dyDescent="0.25">
      <c r="P405" s="220"/>
    </row>
    <row r="406" spans="16:16" x14ac:dyDescent="0.25">
      <c r="P406" s="222"/>
    </row>
    <row r="407" spans="16:16" x14ac:dyDescent="0.25">
      <c r="P407" s="222"/>
    </row>
    <row r="408" spans="16:16" x14ac:dyDescent="0.25">
      <c r="P408" s="222"/>
    </row>
    <row r="409" spans="16:16" x14ac:dyDescent="0.25">
      <c r="P409" s="222"/>
    </row>
    <row r="410" spans="16:16" x14ac:dyDescent="0.25">
      <c r="P410" s="222"/>
    </row>
    <row r="411" spans="16:16" x14ac:dyDescent="0.25">
      <c r="P411" s="222"/>
    </row>
    <row r="412" spans="16:16" x14ac:dyDescent="0.25">
      <c r="P412" s="222"/>
    </row>
    <row r="413" spans="16:16" x14ac:dyDescent="0.25">
      <c r="P413" s="222"/>
    </row>
    <row r="414" spans="16:16" x14ac:dyDescent="0.25">
      <c r="P414" s="222"/>
    </row>
    <row r="415" spans="16:16" x14ac:dyDescent="0.25">
      <c r="P415" s="222"/>
    </row>
    <row r="416" spans="16:16" x14ac:dyDescent="0.25">
      <c r="P416" s="222"/>
    </row>
    <row r="417" spans="16:16" x14ac:dyDescent="0.25">
      <c r="P417" s="222"/>
    </row>
    <row r="418" spans="16:16" x14ac:dyDescent="0.25">
      <c r="P418" s="222"/>
    </row>
    <row r="419" spans="16:16" x14ac:dyDescent="0.25">
      <c r="P419" s="222"/>
    </row>
    <row r="420" spans="16:16" x14ac:dyDescent="0.25">
      <c r="P420" s="222"/>
    </row>
    <row r="421" spans="16:16" x14ac:dyDescent="0.25">
      <c r="P421" s="222"/>
    </row>
    <row r="422" spans="16:16" x14ac:dyDescent="0.25">
      <c r="P422" s="222"/>
    </row>
    <row r="423" spans="16:16" x14ac:dyDescent="0.25">
      <c r="P423" s="222"/>
    </row>
    <row r="424" spans="16:16" x14ac:dyDescent="0.25">
      <c r="P424" s="222"/>
    </row>
    <row r="425" spans="16:16" x14ac:dyDescent="0.25">
      <c r="P425" s="222"/>
    </row>
    <row r="426" spans="16:16" x14ac:dyDescent="0.25">
      <c r="P426" s="222"/>
    </row>
    <row r="427" spans="16:16" x14ac:dyDescent="0.25">
      <c r="P427" s="222"/>
    </row>
    <row r="428" spans="16:16" x14ac:dyDescent="0.25">
      <c r="P428" s="222"/>
    </row>
    <row r="429" spans="16:16" x14ac:dyDescent="0.25">
      <c r="P429" s="222"/>
    </row>
    <row r="430" spans="16:16" x14ac:dyDescent="0.25">
      <c r="P430" s="222"/>
    </row>
    <row r="431" spans="16:16" x14ac:dyDescent="0.25">
      <c r="P431" s="222"/>
    </row>
    <row r="432" spans="16:16" x14ac:dyDescent="0.25">
      <c r="P432" s="222"/>
    </row>
    <row r="433" spans="16:16" x14ac:dyDescent="0.25">
      <c r="P433" s="222"/>
    </row>
    <row r="434" spans="16:16" x14ac:dyDescent="0.25">
      <c r="P434" s="222"/>
    </row>
    <row r="435" spans="16:16" x14ac:dyDescent="0.25">
      <c r="P435" s="222"/>
    </row>
    <row r="436" spans="16:16" x14ac:dyDescent="0.25">
      <c r="P436" s="222"/>
    </row>
    <row r="437" spans="16:16" x14ac:dyDescent="0.25">
      <c r="P437" s="222"/>
    </row>
    <row r="438" spans="16:16" x14ac:dyDescent="0.25">
      <c r="P438" s="222"/>
    </row>
    <row r="439" spans="16:16" x14ac:dyDescent="0.25">
      <c r="P439" s="222"/>
    </row>
    <row r="440" spans="16:16" x14ac:dyDescent="0.25">
      <c r="P440" s="222"/>
    </row>
    <row r="441" spans="16:16" x14ac:dyDescent="0.25">
      <c r="P441" s="222"/>
    </row>
    <row r="442" spans="16:16" x14ac:dyDescent="0.25">
      <c r="P442" s="222"/>
    </row>
    <row r="443" spans="16:16" x14ac:dyDescent="0.25">
      <c r="P443" s="222"/>
    </row>
    <row r="444" spans="16:16" x14ac:dyDescent="0.25">
      <c r="P444" s="222"/>
    </row>
    <row r="445" spans="16:16" x14ac:dyDescent="0.25">
      <c r="P445" s="222"/>
    </row>
    <row r="446" spans="16:16" x14ac:dyDescent="0.25">
      <c r="P446" s="222"/>
    </row>
    <row r="447" spans="16:16" x14ac:dyDescent="0.25">
      <c r="P447" s="222"/>
    </row>
    <row r="448" spans="16:16" x14ac:dyDescent="0.25">
      <c r="P448" s="222"/>
    </row>
    <row r="449" spans="16:16" x14ac:dyDescent="0.25">
      <c r="P449" s="222"/>
    </row>
    <row r="450" spans="16:16" x14ac:dyDescent="0.25">
      <c r="P450" s="222"/>
    </row>
    <row r="451" spans="16:16" x14ac:dyDescent="0.25">
      <c r="P451" s="222"/>
    </row>
    <row r="452" spans="16:16" x14ac:dyDescent="0.25">
      <c r="P452" s="222"/>
    </row>
    <row r="453" spans="16:16" x14ac:dyDescent="0.25">
      <c r="P453" s="222"/>
    </row>
    <row r="454" spans="16:16" x14ac:dyDescent="0.25">
      <c r="P454" s="222"/>
    </row>
    <row r="455" spans="16:16" x14ac:dyDescent="0.25">
      <c r="P455" s="222"/>
    </row>
    <row r="456" spans="16:16" x14ac:dyDescent="0.25">
      <c r="P456" s="222"/>
    </row>
    <row r="457" spans="16:16" x14ac:dyDescent="0.25">
      <c r="P457" s="222"/>
    </row>
    <row r="458" spans="16:16" x14ac:dyDescent="0.25">
      <c r="P458" s="222"/>
    </row>
    <row r="459" spans="16:16" x14ac:dyDescent="0.25">
      <c r="P459" s="222"/>
    </row>
    <row r="460" spans="16:16" x14ac:dyDescent="0.25">
      <c r="P460" s="222"/>
    </row>
    <row r="461" spans="16:16" x14ac:dyDescent="0.25">
      <c r="P461" s="222"/>
    </row>
    <row r="462" spans="16:16" x14ac:dyDescent="0.25">
      <c r="P462" s="222"/>
    </row>
    <row r="463" spans="16:16" x14ac:dyDescent="0.25">
      <c r="P463" s="222"/>
    </row>
    <row r="464" spans="16:16" x14ac:dyDescent="0.25">
      <c r="P464" s="222"/>
    </row>
    <row r="465" spans="16:16" x14ac:dyDescent="0.25">
      <c r="P465" s="222"/>
    </row>
    <row r="466" spans="16:16" x14ac:dyDescent="0.25">
      <c r="P466" s="222"/>
    </row>
    <row r="467" spans="16:16" x14ac:dyDescent="0.25">
      <c r="P467" s="222"/>
    </row>
    <row r="468" spans="16:16" x14ac:dyDescent="0.25">
      <c r="P468" s="222"/>
    </row>
    <row r="469" spans="16:16" x14ac:dyDescent="0.25">
      <c r="P469" s="222"/>
    </row>
    <row r="470" spans="16:16" x14ac:dyDescent="0.25">
      <c r="P470" s="222"/>
    </row>
    <row r="471" spans="16:16" x14ac:dyDescent="0.25">
      <c r="P471" s="222"/>
    </row>
    <row r="472" spans="16:16" x14ac:dyDescent="0.25">
      <c r="P472" s="222"/>
    </row>
    <row r="473" spans="16:16" x14ac:dyDescent="0.25">
      <c r="P473" s="222"/>
    </row>
    <row r="474" spans="16:16" x14ac:dyDescent="0.25">
      <c r="P474" s="222"/>
    </row>
    <row r="475" spans="16:16" x14ac:dyDescent="0.25">
      <c r="P475" s="222"/>
    </row>
    <row r="476" spans="16:16" x14ac:dyDescent="0.25">
      <c r="P476" s="222"/>
    </row>
    <row r="477" spans="16:16" x14ac:dyDescent="0.25">
      <c r="P477" s="222"/>
    </row>
    <row r="478" spans="16:16" x14ac:dyDescent="0.25">
      <c r="P478" s="222"/>
    </row>
    <row r="479" spans="16:16" x14ac:dyDescent="0.25">
      <c r="P479" s="222"/>
    </row>
    <row r="480" spans="16:16" x14ac:dyDescent="0.25">
      <c r="P480" s="222"/>
    </row>
    <row r="481" spans="16:16" x14ac:dyDescent="0.25">
      <c r="P481" s="222"/>
    </row>
    <row r="482" spans="16:16" x14ac:dyDescent="0.25">
      <c r="P482" s="222"/>
    </row>
    <row r="483" spans="16:16" x14ac:dyDescent="0.25">
      <c r="P483" s="222"/>
    </row>
    <row r="484" spans="16:16" x14ac:dyDescent="0.25">
      <c r="P484" s="222"/>
    </row>
    <row r="485" spans="16:16" x14ac:dyDescent="0.25">
      <c r="P485" s="222"/>
    </row>
    <row r="486" spans="16:16" x14ac:dyDescent="0.25">
      <c r="P486" s="222"/>
    </row>
    <row r="487" spans="16:16" x14ac:dyDescent="0.25">
      <c r="P487" s="222"/>
    </row>
    <row r="488" spans="16:16" x14ac:dyDescent="0.25">
      <c r="P488" s="222"/>
    </row>
    <row r="489" spans="16:16" x14ac:dyDescent="0.25">
      <c r="P489" s="222"/>
    </row>
    <row r="490" spans="16:16" x14ac:dyDescent="0.25">
      <c r="P490" s="222"/>
    </row>
    <row r="491" spans="16:16" x14ac:dyDescent="0.25">
      <c r="P491" s="222"/>
    </row>
    <row r="492" spans="16:16" x14ac:dyDescent="0.25">
      <c r="P492" s="222"/>
    </row>
    <row r="493" spans="16:16" x14ac:dyDescent="0.25">
      <c r="P493" s="222"/>
    </row>
    <row r="494" spans="16:16" x14ac:dyDescent="0.25">
      <c r="P494" s="222"/>
    </row>
    <row r="495" spans="16:16" x14ac:dyDescent="0.25">
      <c r="P495" s="222"/>
    </row>
    <row r="496" spans="16:16" x14ac:dyDescent="0.25">
      <c r="P496" s="222"/>
    </row>
    <row r="497" spans="16:16" x14ac:dyDescent="0.25">
      <c r="P497" s="222"/>
    </row>
    <row r="498" spans="16:16" x14ac:dyDescent="0.25">
      <c r="P498" s="222"/>
    </row>
    <row r="499" spans="16:16" x14ac:dyDescent="0.25">
      <c r="P499" s="222"/>
    </row>
    <row r="500" spans="16:16" x14ac:dyDescent="0.25">
      <c r="P500" s="222"/>
    </row>
    <row r="501" spans="16:16" x14ac:dyDescent="0.25">
      <c r="P501" s="222"/>
    </row>
    <row r="502" spans="16:16" x14ac:dyDescent="0.25">
      <c r="P502" s="222"/>
    </row>
    <row r="503" spans="16:16" x14ac:dyDescent="0.25">
      <c r="P503" s="222"/>
    </row>
    <row r="504" spans="16:16" x14ac:dyDescent="0.25">
      <c r="P504" s="222"/>
    </row>
    <row r="505" spans="16:16" x14ac:dyDescent="0.25">
      <c r="P505" s="222"/>
    </row>
    <row r="506" spans="16:16" x14ac:dyDescent="0.25">
      <c r="P506" s="222"/>
    </row>
    <row r="507" spans="16:16" x14ac:dyDescent="0.25">
      <c r="P507" s="222"/>
    </row>
    <row r="508" spans="16:16" x14ac:dyDescent="0.25">
      <c r="P508" s="222"/>
    </row>
    <row r="509" spans="16:16" x14ac:dyDescent="0.25">
      <c r="P509" s="222"/>
    </row>
    <row r="510" spans="16:16" x14ac:dyDescent="0.25">
      <c r="P510" s="222"/>
    </row>
    <row r="511" spans="16:16" x14ac:dyDescent="0.25">
      <c r="P511" s="222"/>
    </row>
    <row r="512" spans="16:16" x14ac:dyDescent="0.25">
      <c r="P512" s="222"/>
    </row>
    <row r="513" spans="16:16" x14ac:dyDescent="0.25">
      <c r="P513" s="222"/>
    </row>
    <row r="514" spans="16:16" x14ac:dyDescent="0.25">
      <c r="P514" s="222"/>
    </row>
    <row r="515" spans="16:16" x14ac:dyDescent="0.25">
      <c r="P515" s="222"/>
    </row>
    <row r="516" spans="16:16" x14ac:dyDescent="0.25">
      <c r="P516" s="222"/>
    </row>
    <row r="517" spans="16:16" x14ac:dyDescent="0.25">
      <c r="P517" s="222"/>
    </row>
    <row r="518" spans="16:16" x14ac:dyDescent="0.25">
      <c r="P518" s="222"/>
    </row>
    <row r="519" spans="16:16" x14ac:dyDescent="0.25">
      <c r="P519" s="222"/>
    </row>
    <row r="520" spans="16:16" x14ac:dyDescent="0.25">
      <c r="P520" s="222"/>
    </row>
    <row r="521" spans="16:16" x14ac:dyDescent="0.25">
      <c r="P521" s="222"/>
    </row>
    <row r="522" spans="16:16" x14ac:dyDescent="0.25">
      <c r="P522" s="222"/>
    </row>
    <row r="523" spans="16:16" x14ac:dyDescent="0.25">
      <c r="P523" s="222"/>
    </row>
    <row r="524" spans="16:16" x14ac:dyDescent="0.25">
      <c r="P524" s="222"/>
    </row>
    <row r="525" spans="16:16" x14ac:dyDescent="0.25">
      <c r="P525" s="222"/>
    </row>
    <row r="526" spans="16:16" x14ac:dyDescent="0.25">
      <c r="P526" s="222"/>
    </row>
    <row r="527" spans="16:16" x14ac:dyDescent="0.25">
      <c r="P527" s="222"/>
    </row>
    <row r="528" spans="16:16" x14ac:dyDescent="0.25">
      <c r="P528" s="222"/>
    </row>
    <row r="529" spans="16:16" x14ac:dyDescent="0.25">
      <c r="P529" s="222"/>
    </row>
    <row r="530" spans="16:16" x14ac:dyDescent="0.25">
      <c r="P530" s="222"/>
    </row>
    <row r="531" spans="16:16" x14ac:dyDescent="0.25">
      <c r="P531" s="222"/>
    </row>
    <row r="532" spans="16:16" x14ac:dyDescent="0.25">
      <c r="P532" s="222"/>
    </row>
    <row r="533" spans="16:16" x14ac:dyDescent="0.25">
      <c r="P533" s="222"/>
    </row>
    <row r="534" spans="16:16" x14ac:dyDescent="0.25">
      <c r="P534" s="222"/>
    </row>
    <row r="535" spans="16:16" x14ac:dyDescent="0.25">
      <c r="P535" s="222"/>
    </row>
    <row r="536" spans="16:16" x14ac:dyDescent="0.25">
      <c r="P536" s="222"/>
    </row>
    <row r="537" spans="16:16" x14ac:dyDescent="0.25">
      <c r="P537" s="222"/>
    </row>
    <row r="538" spans="16:16" x14ac:dyDescent="0.25">
      <c r="P538" s="222"/>
    </row>
  </sheetData>
  <sheetProtection autoFilter="0"/>
  <autoFilter ref="I10:N182" xr:uid="{8374C42B-ED18-4896-A6BB-F92C6FC616EA}">
    <filterColumn colId="0" showButton="0"/>
    <filterColumn colId="3" showButton="0"/>
  </autoFilter>
  <mergeCells count="17"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  <mergeCell ref="P9:P12"/>
    <mergeCell ref="I10:J10"/>
    <mergeCell ref="K10:K11"/>
    <mergeCell ref="L10:M10"/>
    <mergeCell ref="N10:N11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EA8AF-8C44-4106-8FF4-C756997D43B9}">
  <dimension ref="A1"/>
  <sheetViews>
    <sheetView zoomScale="160" zoomScaleNormal="160" workbookViewId="0">
      <selection activeCell="J11" sqref="J1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2"/>
  <sheetViews>
    <sheetView view="pageBreakPreview" zoomScale="85" zoomScaleNormal="85" zoomScaleSheetLayoutView="85" workbookViewId="0">
      <selection activeCell="G14" sqref="G14"/>
    </sheetView>
  </sheetViews>
  <sheetFormatPr defaultRowHeight="15" x14ac:dyDescent="0.25"/>
  <cols>
    <col min="1" max="2" width="8.7109375" customWidth="1"/>
    <col min="3" max="3" width="50.7109375" customWidth="1"/>
    <col min="4" max="4" width="25.7109375" customWidth="1"/>
    <col min="5" max="6" width="8.7109375" customWidth="1"/>
    <col min="7" max="7" width="14" customWidth="1"/>
    <col min="8" max="13" width="15.7109375" customWidth="1"/>
  </cols>
  <sheetData>
    <row r="1" spans="1:14" s="16" customFormat="1" x14ac:dyDescent="0.25">
      <c r="A1" s="9" t="s">
        <v>0</v>
      </c>
      <c r="B1" s="10"/>
      <c r="C1" s="11"/>
      <c r="D1" s="12"/>
      <c r="E1" s="11"/>
      <c r="F1" s="11"/>
      <c r="G1" s="13"/>
      <c r="H1" s="14"/>
      <c r="I1" s="15"/>
      <c r="J1" s="15"/>
      <c r="K1" s="15"/>
      <c r="L1" s="15"/>
      <c r="M1" s="78" t="s">
        <v>43</v>
      </c>
    </row>
    <row r="2" spans="1:14" s="16" customFormat="1" ht="15.75" customHeight="1" x14ac:dyDescent="0.25">
      <c r="A2" s="291" t="s">
        <v>5</v>
      </c>
      <c r="B2" s="291"/>
      <c r="C2" s="291"/>
      <c r="D2" s="291"/>
      <c r="E2" s="17"/>
      <c r="F2" s="76"/>
      <c r="G2" s="18"/>
      <c r="H2" s="19"/>
      <c r="I2" s="20"/>
      <c r="J2" s="21"/>
      <c r="K2" s="21"/>
      <c r="L2" s="21"/>
      <c r="M2" s="79" t="s">
        <v>44</v>
      </c>
    </row>
    <row r="3" spans="1:14" s="16" customFormat="1" ht="18.75" customHeight="1" x14ac:dyDescent="0.25">
      <c r="A3" s="292" t="s">
        <v>8</v>
      </c>
      <c r="B3" s="292"/>
      <c r="C3" s="292"/>
      <c r="D3" s="17"/>
      <c r="E3" s="17"/>
      <c r="F3" s="76"/>
      <c r="G3" s="18"/>
      <c r="H3" s="19"/>
      <c r="I3" s="20"/>
      <c r="J3" s="21"/>
      <c r="K3" s="21"/>
      <c r="L3" s="21"/>
      <c r="M3" s="22"/>
    </row>
    <row r="4" spans="1:14" s="16" customFormat="1" ht="25.5" customHeight="1" x14ac:dyDescent="0.25">
      <c r="A4" s="293" t="s">
        <v>42</v>
      </c>
      <c r="B4" s="293"/>
      <c r="C4" s="293"/>
      <c r="D4" s="293"/>
      <c r="E4" s="293"/>
      <c r="F4" s="76"/>
      <c r="G4" s="18"/>
      <c r="H4" s="19"/>
      <c r="I4" s="20"/>
      <c r="J4" s="21"/>
      <c r="K4" s="21"/>
      <c r="L4" s="21"/>
      <c r="M4" s="22"/>
    </row>
    <row r="5" spans="1:14" s="16" customFormat="1" ht="15.75" x14ac:dyDescent="0.25">
      <c r="A5" s="23" t="s">
        <v>4</v>
      </c>
      <c r="B5" s="24"/>
      <c r="C5" s="25"/>
      <c r="D5" s="76"/>
      <c r="E5" s="76"/>
      <c r="F5" s="76"/>
      <c r="G5" s="18"/>
      <c r="H5" s="19"/>
      <c r="I5" s="20"/>
      <c r="J5" s="21"/>
      <c r="K5" s="21"/>
      <c r="L5" s="21"/>
      <c r="M5" s="22"/>
    </row>
    <row r="6" spans="1:14" s="16" customFormat="1" ht="15.75" x14ac:dyDescent="0.25">
      <c r="A6" s="23"/>
      <c r="B6" s="24"/>
      <c r="C6" s="25"/>
      <c r="D6" s="76"/>
      <c r="E6" s="76"/>
      <c r="F6" s="76"/>
      <c r="G6" s="18"/>
      <c r="H6" s="19"/>
      <c r="I6" s="20"/>
      <c r="J6" s="21"/>
      <c r="K6" s="21"/>
      <c r="L6" s="21"/>
      <c r="M6" s="22"/>
    </row>
    <row r="7" spans="1:14" s="16" customFormat="1" ht="15.75" customHeight="1" x14ac:dyDescent="0.25">
      <c r="A7" s="294" t="s">
        <v>58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</row>
    <row r="8" spans="1:14" s="16" customFormat="1" ht="15" customHeight="1" x14ac:dyDescent="0.25">
      <c r="A8" s="295" t="s">
        <v>40</v>
      </c>
      <c r="B8" s="295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5"/>
    </row>
    <row r="9" spans="1:14" s="16" customFormat="1" ht="31.5" customHeight="1" x14ac:dyDescent="0.25">
      <c r="A9" s="296" t="s">
        <v>29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</row>
    <row r="10" spans="1:14" s="16" customFormat="1" ht="15.75" thickBot="1" x14ac:dyDescent="0.3">
      <c r="A10" s="26"/>
      <c r="B10" s="27"/>
      <c r="C10" s="28"/>
      <c r="D10" s="12"/>
      <c r="E10" s="12"/>
      <c r="F10" s="12"/>
      <c r="G10" s="29"/>
      <c r="H10" s="30"/>
      <c r="I10" s="31"/>
      <c r="J10" s="15"/>
      <c r="K10" s="32"/>
      <c r="L10" s="32"/>
      <c r="M10" s="32"/>
    </row>
    <row r="11" spans="1:14" s="16" customFormat="1" ht="30.75" customHeight="1" x14ac:dyDescent="0.25">
      <c r="A11" s="308" t="s">
        <v>18</v>
      </c>
      <c r="B11" s="311" t="s">
        <v>1</v>
      </c>
      <c r="C11" s="314" t="s">
        <v>17</v>
      </c>
      <c r="D11" s="315" t="s">
        <v>2</v>
      </c>
      <c r="E11" s="318" t="s">
        <v>19</v>
      </c>
      <c r="F11" s="318" t="s">
        <v>20</v>
      </c>
      <c r="G11" s="297" t="s">
        <v>10</v>
      </c>
      <c r="H11" s="300" t="s">
        <v>41</v>
      </c>
      <c r="I11" s="301"/>
      <c r="J11" s="301"/>
      <c r="K11" s="301"/>
      <c r="L11" s="301"/>
      <c r="M11" s="302"/>
    </row>
    <row r="12" spans="1:14" s="16" customFormat="1" ht="30" customHeight="1" x14ac:dyDescent="0.2">
      <c r="A12" s="309"/>
      <c r="B12" s="312"/>
      <c r="C12" s="304"/>
      <c r="D12" s="316"/>
      <c r="E12" s="319"/>
      <c r="F12" s="319"/>
      <c r="G12" s="298"/>
      <c r="H12" s="303" t="s">
        <v>21</v>
      </c>
      <c r="I12" s="304"/>
      <c r="J12" s="304" t="s">
        <v>22</v>
      </c>
      <c r="K12" s="304" t="s">
        <v>11</v>
      </c>
      <c r="L12" s="304"/>
      <c r="M12" s="306" t="s">
        <v>23</v>
      </c>
      <c r="N12" s="33" t="s">
        <v>25</v>
      </c>
    </row>
    <row r="13" spans="1:14" s="16" customFormat="1" ht="39.75" customHeight="1" thickBot="1" x14ac:dyDescent="0.3">
      <c r="A13" s="310"/>
      <c r="B13" s="313"/>
      <c r="C13" s="305"/>
      <c r="D13" s="317"/>
      <c r="E13" s="320"/>
      <c r="F13" s="320"/>
      <c r="G13" s="299"/>
      <c r="H13" s="77" t="s">
        <v>3</v>
      </c>
      <c r="I13" s="77" t="s">
        <v>24</v>
      </c>
      <c r="J13" s="305"/>
      <c r="K13" s="77" t="s">
        <v>3</v>
      </c>
      <c r="L13" s="77" t="s">
        <v>24</v>
      </c>
      <c r="M13" s="307"/>
    </row>
    <row r="14" spans="1:14" s="16" customFormat="1" ht="15.75" thickBot="1" x14ac:dyDescent="0.3">
      <c r="A14" s="34">
        <v>1</v>
      </c>
      <c r="B14" s="35">
        <v>2</v>
      </c>
      <c r="C14" s="35">
        <v>3</v>
      </c>
      <c r="D14" s="35">
        <v>4</v>
      </c>
      <c r="E14" s="35">
        <v>5</v>
      </c>
      <c r="F14" s="35">
        <v>6</v>
      </c>
      <c r="G14" s="36">
        <v>9</v>
      </c>
      <c r="H14" s="36">
        <v>10</v>
      </c>
      <c r="I14" s="36">
        <v>11</v>
      </c>
      <c r="J14" s="36">
        <v>12</v>
      </c>
      <c r="K14" s="36">
        <v>13</v>
      </c>
      <c r="L14" s="36">
        <v>14</v>
      </c>
      <c r="M14" s="37">
        <v>15</v>
      </c>
    </row>
    <row r="15" spans="1:14" s="16" customFormat="1" ht="30" customHeight="1" x14ac:dyDescent="0.25">
      <c r="A15" s="47"/>
      <c r="B15" s="48">
        <v>107</v>
      </c>
      <c r="C15" s="49" t="s">
        <v>30</v>
      </c>
      <c r="D15" s="50"/>
      <c r="E15" s="50"/>
      <c r="F15" s="50"/>
      <c r="G15" s="51"/>
      <c r="H15" s="6"/>
      <c r="I15" s="7"/>
      <c r="J15" s="5"/>
      <c r="K15" s="64">
        <f>K16</f>
        <v>4819194</v>
      </c>
      <c r="L15" s="64">
        <f>L16</f>
        <v>971633.29999999993</v>
      </c>
      <c r="M15" s="64">
        <f>M16</f>
        <v>5790827.2999999998</v>
      </c>
    </row>
    <row r="16" spans="1:14" s="16" customFormat="1" ht="30" customHeight="1" x14ac:dyDescent="0.25">
      <c r="A16" s="52" t="s">
        <v>12</v>
      </c>
      <c r="B16" s="53"/>
      <c r="C16" s="54" t="s">
        <v>39</v>
      </c>
      <c r="D16" s="55" t="s">
        <v>6</v>
      </c>
      <c r="E16" s="56" t="s">
        <v>9</v>
      </c>
      <c r="F16" s="57">
        <v>1</v>
      </c>
      <c r="G16" s="8">
        <f>SUM(G17:G28)</f>
        <v>52</v>
      </c>
      <c r="H16" s="3"/>
      <c r="I16" s="38"/>
      <c r="J16" s="4"/>
      <c r="K16" s="65">
        <f>SUM(K17:K28)</f>
        <v>4819194</v>
      </c>
      <c r="L16" s="66">
        <f>SUM(L17:L28)</f>
        <v>971633.29999999993</v>
      </c>
      <c r="M16" s="67">
        <f>SUM(M17:M28)</f>
        <v>5790827.2999999998</v>
      </c>
    </row>
    <row r="17" spans="1:14" s="16" customFormat="1" ht="30" customHeight="1" x14ac:dyDescent="0.25">
      <c r="A17" s="58" t="s">
        <v>13</v>
      </c>
      <c r="B17" s="59"/>
      <c r="C17" s="60" t="e">
        <f>#REF!</f>
        <v>#REF!</v>
      </c>
      <c r="D17" s="61" t="s">
        <v>6</v>
      </c>
      <c r="E17" s="62" t="s">
        <v>9</v>
      </c>
      <c r="F17" s="63">
        <v>1</v>
      </c>
      <c r="G17" s="63">
        <v>1</v>
      </c>
      <c r="H17" s="2">
        <v>126331.3</v>
      </c>
      <c r="I17" s="39">
        <v>23286.2</v>
      </c>
      <c r="J17" s="1">
        <f>SUM(H17:I17)</f>
        <v>149617.5</v>
      </c>
      <c r="K17" s="68">
        <f>H17*G17</f>
        <v>126331.3</v>
      </c>
      <c r="L17" s="69">
        <f>I17*G17</f>
        <v>23286.2</v>
      </c>
      <c r="M17" s="70">
        <f t="shared" ref="M17:M28" si="0">SUM(K17:L17)</f>
        <v>149617.5</v>
      </c>
    </row>
    <row r="18" spans="1:14" s="16" customFormat="1" ht="30" customHeight="1" x14ac:dyDescent="0.25">
      <c r="A18" s="58" t="s">
        <v>14</v>
      </c>
      <c r="B18" s="59"/>
      <c r="C18" s="60" t="e">
        <f>#REF!</f>
        <v>#REF!</v>
      </c>
      <c r="D18" s="61" t="s">
        <v>6</v>
      </c>
      <c r="E18" s="62" t="s">
        <v>9</v>
      </c>
      <c r="F18" s="63">
        <v>1</v>
      </c>
      <c r="G18" s="63">
        <v>1</v>
      </c>
      <c r="H18" s="2">
        <v>126331.3</v>
      </c>
      <c r="I18" s="39">
        <v>23286.2</v>
      </c>
      <c r="J18" s="1">
        <f t="shared" ref="J18:J28" si="1">SUM(H18:I18)</f>
        <v>149617.5</v>
      </c>
      <c r="K18" s="68">
        <f t="shared" ref="K18:K28" si="2">H18*G18</f>
        <v>126331.3</v>
      </c>
      <c r="L18" s="69">
        <f t="shared" ref="L18:L28" si="3">I18*G18</f>
        <v>23286.2</v>
      </c>
      <c r="M18" s="70">
        <f t="shared" si="0"/>
        <v>149617.5</v>
      </c>
    </row>
    <row r="19" spans="1:14" s="16" customFormat="1" ht="30" customHeight="1" x14ac:dyDescent="0.25">
      <c r="A19" s="58" t="s">
        <v>15</v>
      </c>
      <c r="B19" s="59"/>
      <c r="C19" s="60" t="e">
        <f>#REF!</f>
        <v>#REF!</v>
      </c>
      <c r="D19" s="61" t="s">
        <v>6</v>
      </c>
      <c r="E19" s="62" t="s">
        <v>9</v>
      </c>
      <c r="F19" s="63">
        <v>1</v>
      </c>
      <c r="G19" s="63">
        <v>4</v>
      </c>
      <c r="H19" s="2">
        <v>87665.72</v>
      </c>
      <c r="I19" s="39">
        <v>18021.3</v>
      </c>
      <c r="J19" s="1">
        <f t="shared" si="1"/>
        <v>105687.02</v>
      </c>
      <c r="K19" s="68">
        <f t="shared" si="2"/>
        <v>350662.88</v>
      </c>
      <c r="L19" s="69">
        <f t="shared" si="3"/>
        <v>72085.2</v>
      </c>
      <c r="M19" s="70">
        <f t="shared" si="0"/>
        <v>422748.08</v>
      </c>
    </row>
    <row r="20" spans="1:14" s="16" customFormat="1" ht="30" customHeight="1" x14ac:dyDescent="0.25">
      <c r="A20" s="58" t="s">
        <v>16</v>
      </c>
      <c r="B20" s="59"/>
      <c r="C20" s="60" t="e">
        <f>#REF!</f>
        <v>#REF!</v>
      </c>
      <c r="D20" s="61" t="s">
        <v>6</v>
      </c>
      <c r="E20" s="62" t="s">
        <v>9</v>
      </c>
      <c r="F20" s="63">
        <v>1</v>
      </c>
      <c r="G20" s="63">
        <v>11</v>
      </c>
      <c r="H20" s="2">
        <v>61504.62</v>
      </c>
      <c r="I20" s="39">
        <v>9927.6</v>
      </c>
      <c r="J20" s="1">
        <f t="shared" si="1"/>
        <v>71432.22</v>
      </c>
      <c r="K20" s="68">
        <f t="shared" si="2"/>
        <v>676550.82000000007</v>
      </c>
      <c r="L20" s="69">
        <f t="shared" si="3"/>
        <v>109203.6</v>
      </c>
      <c r="M20" s="70">
        <f t="shared" si="0"/>
        <v>785754.42</v>
      </c>
    </row>
    <row r="21" spans="1:14" s="16" customFormat="1" ht="30" customHeight="1" x14ac:dyDescent="0.25">
      <c r="A21" s="58" t="s">
        <v>31</v>
      </c>
      <c r="B21" s="59"/>
      <c r="C21" s="60" t="e">
        <f>#REF!</f>
        <v>#REF!</v>
      </c>
      <c r="D21" s="61" t="s">
        <v>6</v>
      </c>
      <c r="E21" s="62" t="s">
        <v>9</v>
      </c>
      <c r="F21" s="63">
        <v>1</v>
      </c>
      <c r="G21" s="63">
        <v>4</v>
      </c>
      <c r="H21" s="2">
        <v>86926.54</v>
      </c>
      <c r="I21" s="39">
        <v>18021.3</v>
      </c>
      <c r="J21" s="1">
        <f t="shared" si="1"/>
        <v>104947.84</v>
      </c>
      <c r="K21" s="68">
        <f t="shared" si="2"/>
        <v>347706.16</v>
      </c>
      <c r="L21" s="69">
        <f t="shared" si="3"/>
        <v>72085.2</v>
      </c>
      <c r="M21" s="70">
        <f t="shared" si="0"/>
        <v>419791.35999999999</v>
      </c>
    </row>
    <row r="22" spans="1:14" s="16" customFormat="1" ht="30" customHeight="1" x14ac:dyDescent="0.25">
      <c r="A22" s="58" t="s">
        <v>32</v>
      </c>
      <c r="B22" s="59"/>
      <c r="C22" s="60" t="e">
        <f>#REF!</f>
        <v>#REF!</v>
      </c>
      <c r="D22" s="61" t="s">
        <v>6</v>
      </c>
      <c r="E22" s="62" t="s">
        <v>9</v>
      </c>
      <c r="F22" s="63">
        <v>1</v>
      </c>
      <c r="G22" s="63">
        <v>3</v>
      </c>
      <c r="H22" s="2">
        <v>86926.54</v>
      </c>
      <c r="I22" s="39">
        <v>18021.3</v>
      </c>
      <c r="J22" s="1">
        <f t="shared" si="1"/>
        <v>104947.84</v>
      </c>
      <c r="K22" s="68">
        <f t="shared" si="2"/>
        <v>260779.62</v>
      </c>
      <c r="L22" s="69">
        <f t="shared" si="3"/>
        <v>54063.899999999994</v>
      </c>
      <c r="M22" s="70">
        <f t="shared" si="0"/>
        <v>314843.52000000002</v>
      </c>
    </row>
    <row r="23" spans="1:14" s="16" customFormat="1" ht="30" customHeight="1" x14ac:dyDescent="0.25">
      <c r="A23" s="58" t="s">
        <v>33</v>
      </c>
      <c r="B23" s="59"/>
      <c r="C23" s="60" t="e">
        <f>#REF!</f>
        <v>#REF!</v>
      </c>
      <c r="D23" s="61" t="s">
        <v>6</v>
      </c>
      <c r="E23" s="62" t="s">
        <v>9</v>
      </c>
      <c r="F23" s="63">
        <v>1</v>
      </c>
      <c r="G23" s="63">
        <v>9</v>
      </c>
      <c r="H23" s="2">
        <v>89982.12</v>
      </c>
      <c r="I23" s="39">
        <v>19609.900000000001</v>
      </c>
      <c r="J23" s="1">
        <f t="shared" si="1"/>
        <v>109592.01999999999</v>
      </c>
      <c r="K23" s="68">
        <f t="shared" si="2"/>
        <v>809839.08</v>
      </c>
      <c r="L23" s="69">
        <f t="shared" si="3"/>
        <v>176489.1</v>
      </c>
      <c r="M23" s="70">
        <f t="shared" si="0"/>
        <v>986328.17999999993</v>
      </c>
    </row>
    <row r="24" spans="1:14" s="16" customFormat="1" ht="30" customHeight="1" x14ac:dyDescent="0.25">
      <c r="A24" s="58" t="s">
        <v>34</v>
      </c>
      <c r="B24" s="59"/>
      <c r="C24" s="60" t="e">
        <f>#REF!</f>
        <v>#REF!</v>
      </c>
      <c r="D24" s="61" t="s">
        <v>6</v>
      </c>
      <c r="E24" s="62" t="s">
        <v>9</v>
      </c>
      <c r="F24" s="63">
        <v>1</v>
      </c>
      <c r="G24" s="63">
        <v>9</v>
      </c>
      <c r="H24" s="2">
        <v>89982.12</v>
      </c>
      <c r="I24" s="39">
        <v>19609.900000000001</v>
      </c>
      <c r="J24" s="1">
        <f t="shared" si="1"/>
        <v>109592.01999999999</v>
      </c>
      <c r="K24" s="68">
        <f t="shared" si="2"/>
        <v>809839.08</v>
      </c>
      <c r="L24" s="69">
        <f t="shared" si="3"/>
        <v>176489.1</v>
      </c>
      <c r="M24" s="70">
        <f t="shared" si="0"/>
        <v>986328.17999999993</v>
      </c>
    </row>
    <row r="25" spans="1:14" s="16" customFormat="1" ht="30" customHeight="1" x14ac:dyDescent="0.25">
      <c r="A25" s="58" t="s">
        <v>35</v>
      </c>
      <c r="B25" s="59"/>
      <c r="C25" s="60" t="e">
        <f>#REF!</f>
        <v>#REF!</v>
      </c>
      <c r="D25" s="61" t="s">
        <v>6</v>
      </c>
      <c r="E25" s="62" t="s">
        <v>9</v>
      </c>
      <c r="F25" s="63">
        <v>1</v>
      </c>
      <c r="G25" s="75">
        <v>5</v>
      </c>
      <c r="H25" s="2">
        <v>135332.04</v>
      </c>
      <c r="I25" s="39">
        <v>26697.200000000001</v>
      </c>
      <c r="J25" s="1">
        <f t="shared" si="1"/>
        <v>162029.24000000002</v>
      </c>
      <c r="K25" s="68">
        <f t="shared" si="2"/>
        <v>676660.20000000007</v>
      </c>
      <c r="L25" s="69">
        <f t="shared" si="3"/>
        <v>133486</v>
      </c>
      <c r="M25" s="70">
        <f t="shared" si="0"/>
        <v>810146.20000000007</v>
      </c>
    </row>
    <row r="26" spans="1:14" s="16" customFormat="1" ht="30" customHeight="1" x14ac:dyDescent="0.25">
      <c r="A26" s="58" t="s">
        <v>36</v>
      </c>
      <c r="B26" s="59"/>
      <c r="C26" s="60" t="e">
        <f>#REF!</f>
        <v>#REF!</v>
      </c>
      <c r="D26" s="61" t="s">
        <v>6</v>
      </c>
      <c r="E26" s="62" t="s">
        <v>9</v>
      </c>
      <c r="F26" s="63">
        <v>1</v>
      </c>
      <c r="G26" s="75">
        <v>1</v>
      </c>
      <c r="H26" s="2">
        <v>114248.72</v>
      </c>
      <c r="I26" s="39">
        <v>25533.599999999999</v>
      </c>
      <c r="J26" s="1">
        <f t="shared" si="1"/>
        <v>139782.32</v>
      </c>
      <c r="K26" s="68">
        <f t="shared" si="2"/>
        <v>114248.72</v>
      </c>
      <c r="L26" s="69">
        <f t="shared" si="3"/>
        <v>25533.599999999999</v>
      </c>
      <c r="M26" s="70">
        <f t="shared" si="0"/>
        <v>139782.32</v>
      </c>
    </row>
    <row r="27" spans="1:14" s="16" customFormat="1" ht="30" customHeight="1" x14ac:dyDescent="0.25">
      <c r="A27" s="58" t="s">
        <v>37</v>
      </c>
      <c r="B27" s="59"/>
      <c r="C27" s="60" t="e">
        <f>#REF!</f>
        <v>#REF!</v>
      </c>
      <c r="D27" s="61" t="s">
        <v>6</v>
      </c>
      <c r="E27" s="62" t="s">
        <v>9</v>
      </c>
      <c r="F27" s="63">
        <v>1</v>
      </c>
      <c r="G27" s="75">
        <v>1</v>
      </c>
      <c r="H27" s="2">
        <v>114248.72</v>
      </c>
      <c r="I27" s="39">
        <v>25533.599999999999</v>
      </c>
      <c r="J27" s="1">
        <f t="shared" si="1"/>
        <v>139782.32</v>
      </c>
      <c r="K27" s="68">
        <f t="shared" si="2"/>
        <v>114248.72</v>
      </c>
      <c r="L27" s="69">
        <f t="shared" si="3"/>
        <v>25533.599999999999</v>
      </c>
      <c r="M27" s="70">
        <f t="shared" si="0"/>
        <v>139782.32</v>
      </c>
    </row>
    <row r="28" spans="1:14" s="16" customFormat="1" ht="30" customHeight="1" x14ac:dyDescent="0.25">
      <c r="A28" s="58" t="s">
        <v>38</v>
      </c>
      <c r="B28" s="59"/>
      <c r="C28" s="60" t="e">
        <f>#REF!</f>
        <v>#REF!</v>
      </c>
      <c r="D28" s="61" t="s">
        <v>6</v>
      </c>
      <c r="E28" s="62" t="s">
        <v>9</v>
      </c>
      <c r="F28" s="63">
        <v>1</v>
      </c>
      <c r="G28" s="75">
        <v>3</v>
      </c>
      <c r="H28" s="2">
        <v>135332.04</v>
      </c>
      <c r="I28" s="39">
        <v>26697.200000000001</v>
      </c>
      <c r="J28" s="1">
        <f t="shared" si="1"/>
        <v>162029.24000000002</v>
      </c>
      <c r="K28" s="68">
        <f t="shared" si="2"/>
        <v>405996.12</v>
      </c>
      <c r="L28" s="69">
        <f t="shared" si="3"/>
        <v>80091.600000000006</v>
      </c>
      <c r="M28" s="70">
        <f t="shared" si="0"/>
        <v>486087.72</v>
      </c>
    </row>
    <row r="29" spans="1:14" s="16" customFormat="1" ht="30" customHeight="1" x14ac:dyDescent="0.25">
      <c r="A29" s="40"/>
      <c r="B29" s="41"/>
      <c r="C29" s="288" t="s">
        <v>27</v>
      </c>
      <c r="D29" s="288"/>
      <c r="E29" s="288"/>
      <c r="F29" s="288"/>
      <c r="G29" s="288"/>
      <c r="H29" s="288"/>
      <c r="I29" s="288"/>
      <c r="J29" s="288"/>
      <c r="K29" s="71">
        <f>K16</f>
        <v>4819194</v>
      </c>
      <c r="L29" s="71">
        <f>L16</f>
        <v>971633.29999999993</v>
      </c>
      <c r="M29" s="72">
        <f>M16</f>
        <v>5790827.2999999998</v>
      </c>
    </row>
    <row r="30" spans="1:14" s="16" customFormat="1" ht="30" customHeight="1" x14ac:dyDescent="0.2">
      <c r="A30" s="42"/>
      <c r="B30" s="43"/>
      <c r="C30" s="43" t="s">
        <v>28</v>
      </c>
      <c r="D30" s="43"/>
      <c r="E30" s="43"/>
      <c r="F30" s="43"/>
      <c r="G30" s="44"/>
      <c r="H30" s="43"/>
      <c r="I30" s="43"/>
      <c r="J30" s="45"/>
      <c r="K30" s="73"/>
      <c r="L30" s="73"/>
      <c r="M30" s="74">
        <f>M29-M29/1.2</f>
        <v>965137.88333333284</v>
      </c>
      <c r="N30" s="46" t="s">
        <v>26</v>
      </c>
    </row>
    <row r="32" spans="1:14" x14ac:dyDescent="0.25">
      <c r="A32" s="289" t="s">
        <v>45</v>
      </c>
      <c r="B32" s="289"/>
      <c r="C32" s="289"/>
      <c r="D32" s="289"/>
      <c r="E32" s="289" t="s">
        <v>46</v>
      </c>
      <c r="F32" s="289"/>
      <c r="G32" s="80"/>
      <c r="H32" s="81"/>
      <c r="I32" s="81"/>
      <c r="J32" s="289" t="s">
        <v>47</v>
      </c>
      <c r="K32" s="289"/>
      <c r="L32" s="80"/>
      <c r="M32" s="81"/>
    </row>
    <row r="33" spans="1:13" x14ac:dyDescent="0.25">
      <c r="A33" s="290" t="s">
        <v>8</v>
      </c>
      <c r="B33" s="290"/>
      <c r="C33" s="290"/>
      <c r="D33" s="290"/>
      <c r="E33" s="287" t="s">
        <v>48</v>
      </c>
      <c r="F33" s="287"/>
      <c r="G33" s="287"/>
      <c r="H33" s="82"/>
      <c r="I33" s="82"/>
      <c r="J33" s="290" t="s">
        <v>49</v>
      </c>
      <c r="K33" s="290"/>
      <c r="L33" s="290"/>
      <c r="M33" s="83"/>
    </row>
    <row r="34" spans="1:13" x14ac:dyDescent="0.25">
      <c r="A34" s="286" t="s">
        <v>50</v>
      </c>
      <c r="B34" s="286"/>
      <c r="C34" s="286"/>
      <c r="D34" s="83"/>
      <c r="E34" s="84"/>
      <c r="F34" s="84"/>
      <c r="G34" s="80"/>
      <c r="H34" s="85"/>
      <c r="I34" s="85"/>
      <c r="J34" s="86"/>
      <c r="K34" s="86"/>
      <c r="L34" s="87"/>
      <c r="M34" s="88"/>
    </row>
    <row r="35" spans="1:13" x14ac:dyDescent="0.25">
      <c r="A35" s="89"/>
      <c r="B35" s="89"/>
      <c r="C35" s="89"/>
      <c r="D35" s="89"/>
      <c r="E35" s="84"/>
      <c r="F35" s="84"/>
      <c r="G35" s="80"/>
      <c r="H35" s="85"/>
      <c r="I35" s="85"/>
      <c r="J35" s="90"/>
      <c r="K35" s="90"/>
      <c r="L35" s="91"/>
      <c r="M35" s="89"/>
    </row>
    <row r="36" spans="1:13" x14ac:dyDescent="0.25">
      <c r="A36" s="286" t="s">
        <v>51</v>
      </c>
      <c r="B36" s="286"/>
      <c r="C36" s="286"/>
      <c r="D36" s="286"/>
      <c r="E36" s="287" t="s">
        <v>52</v>
      </c>
      <c r="F36" s="287"/>
      <c r="G36" s="80"/>
      <c r="H36" s="82"/>
      <c r="I36" s="82"/>
      <c r="J36" s="286" t="s">
        <v>53</v>
      </c>
      <c r="K36" s="286"/>
      <c r="L36" s="286"/>
      <c r="M36" s="286"/>
    </row>
    <row r="37" spans="1:13" x14ac:dyDescent="0.25">
      <c r="A37" s="92"/>
      <c r="B37" s="92"/>
      <c r="C37" s="92"/>
      <c r="D37" s="92"/>
      <c r="E37" s="92"/>
      <c r="F37" s="92"/>
      <c r="G37" s="80"/>
      <c r="H37" s="92"/>
      <c r="I37" s="92"/>
      <c r="J37" s="93"/>
      <c r="K37" s="93"/>
      <c r="L37" s="91"/>
      <c r="M37" s="93"/>
    </row>
    <row r="38" spans="1:13" x14ac:dyDescent="0.25">
      <c r="A38" s="94"/>
      <c r="B38" s="94"/>
      <c r="C38" s="95" t="s">
        <v>54</v>
      </c>
      <c r="D38" s="96"/>
      <c r="E38" s="94"/>
      <c r="F38" s="97"/>
      <c r="G38" s="97"/>
      <c r="H38" s="97" t="s">
        <v>55</v>
      </c>
      <c r="I38" s="92"/>
      <c r="J38" s="94"/>
      <c r="K38" s="97"/>
      <c r="L38" s="97"/>
      <c r="M38" s="97" t="s">
        <v>56</v>
      </c>
    </row>
    <row r="39" spans="1:13" x14ac:dyDescent="0.25">
      <c r="A39" s="92"/>
      <c r="B39" s="92"/>
      <c r="C39" s="96"/>
      <c r="D39" s="96"/>
      <c r="E39" s="92"/>
      <c r="F39" s="96"/>
      <c r="G39" s="80"/>
      <c r="H39" s="92"/>
      <c r="I39" s="92"/>
      <c r="J39" s="92"/>
      <c r="K39" s="96"/>
      <c r="L39" s="80"/>
      <c r="M39" s="92"/>
    </row>
    <row r="40" spans="1:13" x14ac:dyDescent="0.25">
      <c r="A40" s="92" t="s">
        <v>57</v>
      </c>
      <c r="B40" s="92"/>
      <c r="C40" s="96"/>
      <c r="D40" s="96"/>
      <c r="E40" s="92" t="s">
        <v>57</v>
      </c>
      <c r="F40" s="92"/>
      <c r="G40" s="96"/>
      <c r="H40" s="92"/>
      <c r="I40" s="92"/>
      <c r="J40" s="92" t="s">
        <v>57</v>
      </c>
      <c r="K40" s="92"/>
      <c r="L40" s="96"/>
      <c r="M40" s="92"/>
    </row>
    <row r="41" spans="1:13" x14ac:dyDescent="0.25">
      <c r="A41" s="92"/>
      <c r="B41" s="92"/>
      <c r="C41" s="96"/>
      <c r="D41" s="96"/>
      <c r="E41" s="92"/>
      <c r="F41" s="96"/>
      <c r="G41" s="80"/>
      <c r="H41" s="92"/>
      <c r="I41" s="92"/>
      <c r="J41" s="92"/>
      <c r="K41" s="96"/>
      <c r="L41" s="80"/>
      <c r="M41" s="92"/>
    </row>
    <row r="42" spans="1:13" x14ac:dyDescent="0.25">
      <c r="A42" s="98" t="s">
        <v>4</v>
      </c>
      <c r="B42" s="99"/>
      <c r="C42" s="100"/>
      <c r="D42" s="101"/>
      <c r="E42" s="98" t="s">
        <v>4</v>
      </c>
      <c r="F42" s="99"/>
      <c r="G42" s="80"/>
      <c r="H42" s="98"/>
      <c r="I42" s="92"/>
      <c r="J42" s="98" t="s">
        <v>4</v>
      </c>
      <c r="K42" s="99"/>
      <c r="L42" s="80"/>
      <c r="M42" s="98"/>
    </row>
  </sheetData>
  <customSheetViews>
    <customSheetView guid="{26DDE955-10AE-4017-BEF2-9636EE8B03C2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1"/>
    </customSheetView>
    <customSheetView guid="{FF4F19E7-4806-4777-BD61-949420C2DC9E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2"/>
    </customSheetView>
    <customSheetView guid="{200FE767-226A-4241-904F-FDA0FE931B36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3"/>
    </customSheetView>
    <customSheetView guid="{6504194F-9A24-4D91-A908-D5C52AD552E6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4"/>
    </customSheetView>
  </customSheetViews>
  <mergeCells count="29">
    <mergeCell ref="A9:M9"/>
    <mergeCell ref="G11:G13"/>
    <mergeCell ref="H11:M11"/>
    <mergeCell ref="H12:I12"/>
    <mergeCell ref="J12:J13"/>
    <mergeCell ref="K12:L12"/>
    <mergeCell ref="M12:M13"/>
    <mergeCell ref="A11:A13"/>
    <mergeCell ref="B11:B13"/>
    <mergeCell ref="C11:C13"/>
    <mergeCell ref="D11:D13"/>
    <mergeCell ref="E11:E13"/>
    <mergeCell ref="F11:F13"/>
    <mergeCell ref="A2:D2"/>
    <mergeCell ref="A3:C3"/>
    <mergeCell ref="A4:E4"/>
    <mergeCell ref="A7:M7"/>
    <mergeCell ref="A8:M8"/>
    <mergeCell ref="A34:C34"/>
    <mergeCell ref="A36:D36"/>
    <mergeCell ref="E36:F36"/>
    <mergeCell ref="J36:M36"/>
    <mergeCell ref="C29:J29"/>
    <mergeCell ref="A32:D32"/>
    <mergeCell ref="E32:F32"/>
    <mergeCell ref="J32:K32"/>
    <mergeCell ref="A33:D33"/>
    <mergeCell ref="E33:G33"/>
    <mergeCell ref="J33:L33"/>
  </mergeCells>
  <pageMargins left="0.7" right="0.7" top="0.75" bottom="0.75" header="0.3" footer="0.3"/>
  <pageSetup paperSize="9" scale="3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Секция 2А,2Б</vt:lpstr>
      <vt:lpstr>Секция 1А,1Б,3А,3Б,3В,4А</vt:lpstr>
      <vt:lpstr>Лист5</vt:lpstr>
      <vt:lpstr>ВДЦ ал.окна</vt:lpstr>
      <vt:lpstr>'ВДЦ ал.окна'!Область_печати</vt:lpstr>
      <vt:lpstr>'Секция 1А,1Б,3А,3Б,3В,4А'!Область_печати</vt:lpstr>
      <vt:lpstr>'Секция 2А,2Б'!Область_печати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Соловьева</dc:creator>
  <cp:lastModifiedBy>Воронюк Светлана</cp:lastModifiedBy>
  <cp:revision>1</cp:revision>
  <cp:lastPrinted>2025-04-25T08:16:51Z</cp:lastPrinted>
  <dcterms:created xsi:type="dcterms:W3CDTF">2015-06-05T18:19:34Z</dcterms:created>
  <dcterms:modified xsi:type="dcterms:W3CDTF">2026-06-02T04:51:35Z</dcterms:modified>
</cp:coreProperties>
</file>