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Users\s.voronyuk\Desktop\Аскуэ, видеонаблюдение,скуд\"/>
    </mc:Choice>
  </mc:AlternateContent>
  <xr:revisionPtr revIDLastSave="0" documentId="13_ncr:1_{D9ECCB62-7A21-4AC8-968B-2608D4B6D111}" xr6:coauthVersionLast="47" xr6:coauthVersionMax="47" xr10:uidLastSave="{00000000-0000-0000-0000-000000000000}"/>
  <bookViews>
    <workbookView xWindow="34665" yWindow="1845" windowWidth="21600" windowHeight="615" xr2:uid="{00000000-000D-0000-FFFF-FFFF00000000}"/>
  </bookViews>
  <sheets>
    <sheet name="Секция 2А,2Б" sheetId="8" r:id="rId1"/>
    <sheet name="Секция 1А,1Б" sheetId="14" r:id="rId2"/>
    <sheet name="Секция 3А,3Б,3В" sheetId="18" r:id="rId3"/>
    <sheet name="Лист5" sheetId="15" state="hidden" r:id="rId4"/>
    <sheet name="ВДЦ ал.окна" sheetId="3" state="hidden" r:id="rId5"/>
  </sheets>
  <definedNames>
    <definedName name="_xlnm._FilterDatabase" localSheetId="1" hidden="1">'Секция 1А,1Б'!$A$9:$N$151</definedName>
    <definedName name="_xlnm._FilterDatabase" localSheetId="0" hidden="1">'Секция 2А,2Б'!$I$10:$N$149</definedName>
    <definedName name="_xlnm._FilterDatabase" localSheetId="2" hidden="1">'Секция 3А,3Б,3В'!$A$9:$N$212</definedName>
    <definedName name="Z_200FE767_226A_4241_904F_FDA0FE931B36_.wvu.Cols" localSheetId="1" hidden="1">'Секция 1А,1Б'!$W:$Y</definedName>
    <definedName name="Z_200FE767_226A_4241_904F_FDA0FE931B36_.wvu.Cols" localSheetId="0" hidden="1">'Секция 2А,2Б'!$W:$Y</definedName>
    <definedName name="Z_200FE767_226A_4241_904F_FDA0FE931B36_.wvu.Cols" localSheetId="2" hidden="1">'Секция 3А,3Б,3В'!$W:$Y</definedName>
    <definedName name="Z_200FE767_226A_4241_904F_FDA0FE931B36_.wvu.FilterData" localSheetId="1" hidden="1">'Секция 1А,1Б'!$A$9:$O$138</definedName>
    <definedName name="Z_200FE767_226A_4241_904F_FDA0FE931B36_.wvu.FilterData" localSheetId="0" hidden="1">'Секция 2А,2Б'!$A$9:$O$136</definedName>
    <definedName name="Z_200FE767_226A_4241_904F_FDA0FE931B36_.wvu.FilterData" localSheetId="2" hidden="1">'Секция 3А,3Б,3В'!$A$9:$O$199</definedName>
    <definedName name="Z_200FE767_226A_4241_904F_FDA0FE931B36_.wvu.PrintArea" localSheetId="4" hidden="1">'ВДЦ ал.окна'!$A$1:$M$42</definedName>
    <definedName name="Z_200FE767_226A_4241_904F_FDA0FE931B36_.wvu.PrintArea" localSheetId="1" hidden="1">'Секция 1А,1Б'!$A$1:$AC$195</definedName>
    <definedName name="Z_200FE767_226A_4241_904F_FDA0FE931B36_.wvu.PrintArea" localSheetId="0" hidden="1">'Секция 2А,2Б'!$A$1:$AC$193</definedName>
    <definedName name="Z_200FE767_226A_4241_904F_FDA0FE931B36_.wvu.PrintArea" localSheetId="2" hidden="1">'Секция 3А,3Б,3В'!$A$1:$AC$256</definedName>
    <definedName name="Z_26DDE955_10AE_4017_BEF2_9636EE8B03C2_.wvu.Cols" localSheetId="1" hidden="1">'Секция 1А,1Б'!$W:$Y</definedName>
    <definedName name="Z_26DDE955_10AE_4017_BEF2_9636EE8B03C2_.wvu.Cols" localSheetId="0" hidden="1">'Секция 2А,2Б'!$W:$Y</definedName>
    <definedName name="Z_26DDE955_10AE_4017_BEF2_9636EE8B03C2_.wvu.Cols" localSheetId="2" hidden="1">'Секция 3А,3Б,3В'!$W:$Y</definedName>
    <definedName name="Z_26DDE955_10AE_4017_BEF2_9636EE8B03C2_.wvu.FilterData" localSheetId="1" hidden="1">'Секция 1А,1Б'!$A$9:$O$138</definedName>
    <definedName name="Z_26DDE955_10AE_4017_BEF2_9636EE8B03C2_.wvu.FilterData" localSheetId="0" hidden="1">'Секция 2А,2Б'!$A$9:$O$136</definedName>
    <definedName name="Z_26DDE955_10AE_4017_BEF2_9636EE8B03C2_.wvu.FilterData" localSheetId="2" hidden="1">'Секция 3А,3Б,3В'!$A$9:$O$199</definedName>
    <definedName name="Z_26DDE955_10AE_4017_BEF2_9636EE8B03C2_.wvu.PrintArea" localSheetId="4" hidden="1">'ВДЦ ал.окна'!$A$1:$M$42</definedName>
    <definedName name="Z_26DDE955_10AE_4017_BEF2_9636EE8B03C2_.wvu.PrintArea" localSheetId="1" hidden="1">'Секция 1А,1Б'!$A$1:$AC$195</definedName>
    <definedName name="Z_26DDE955_10AE_4017_BEF2_9636EE8B03C2_.wvu.PrintArea" localSheetId="0" hidden="1">'Секция 2А,2Б'!$A$1:$AC$193</definedName>
    <definedName name="Z_26DDE955_10AE_4017_BEF2_9636EE8B03C2_.wvu.PrintArea" localSheetId="2" hidden="1">'Секция 3А,3Б,3В'!$A$1:$AC$256</definedName>
    <definedName name="Z_6504194F_9A24_4D91_A908_D5C52AD552E6_.wvu.Cols" localSheetId="1" hidden="1">'Секция 1А,1Б'!$W:$Y</definedName>
    <definedName name="Z_6504194F_9A24_4D91_A908_D5C52AD552E6_.wvu.Cols" localSheetId="0" hidden="1">'Секция 2А,2Б'!$W:$Y</definedName>
    <definedName name="Z_6504194F_9A24_4D91_A908_D5C52AD552E6_.wvu.Cols" localSheetId="2" hidden="1">'Секция 3А,3Б,3В'!$W:$Y</definedName>
    <definedName name="Z_6504194F_9A24_4D91_A908_D5C52AD552E6_.wvu.FilterData" localSheetId="1" hidden="1">'Секция 1А,1Б'!$D$1:$D$142</definedName>
    <definedName name="Z_6504194F_9A24_4D91_A908_D5C52AD552E6_.wvu.FilterData" localSheetId="0" hidden="1">'Секция 2А,2Б'!$D$1:$D$140</definedName>
    <definedName name="Z_6504194F_9A24_4D91_A908_D5C52AD552E6_.wvu.FilterData" localSheetId="2" hidden="1">'Секция 3А,3Б,3В'!$D$1:$D$203</definedName>
    <definedName name="Z_6504194F_9A24_4D91_A908_D5C52AD552E6_.wvu.PrintArea" localSheetId="4" hidden="1">'ВДЦ ал.окна'!$A$1:$M$42</definedName>
    <definedName name="Z_6504194F_9A24_4D91_A908_D5C52AD552E6_.wvu.PrintArea" localSheetId="1" hidden="1">'Секция 1А,1Б'!$A$1:$AC$195</definedName>
    <definedName name="Z_6504194F_9A24_4D91_A908_D5C52AD552E6_.wvu.PrintArea" localSheetId="0" hidden="1">'Секция 2А,2Б'!$A$1:$AC$193</definedName>
    <definedName name="Z_6504194F_9A24_4D91_A908_D5C52AD552E6_.wvu.PrintArea" localSheetId="2" hidden="1">'Секция 3А,3Б,3В'!$A$1:$AC$256</definedName>
    <definedName name="Z_FF4F19E7_4806_4777_BD61_949420C2DC9E_.wvu.FilterData" localSheetId="1" hidden="1">'Секция 1А,1Б'!$A$9:$O$138</definedName>
    <definedName name="Z_FF4F19E7_4806_4777_BD61_949420C2DC9E_.wvu.FilterData" localSheetId="0" hidden="1">'Секция 2А,2Б'!$A$9:$O$136</definedName>
    <definedName name="Z_FF4F19E7_4806_4777_BD61_949420C2DC9E_.wvu.FilterData" localSheetId="2" hidden="1">'Секция 3А,3Б,3В'!$A$9:$O$199</definedName>
    <definedName name="Z_FF4F19E7_4806_4777_BD61_949420C2DC9E_.wvu.PrintArea" localSheetId="4" hidden="1">'ВДЦ ал.окна'!$A$1:$M$42</definedName>
    <definedName name="Z_FF4F19E7_4806_4777_BD61_949420C2DC9E_.wvu.PrintArea" localSheetId="1" hidden="1">'Секция 1А,1Б'!$A$1:$AC$195</definedName>
    <definedName name="Z_FF4F19E7_4806_4777_BD61_949420C2DC9E_.wvu.PrintArea" localSheetId="0" hidden="1">'Секция 2А,2Б'!$A$1:$AC$193</definedName>
    <definedName name="Z_FF4F19E7_4806_4777_BD61_949420C2DC9E_.wvu.PrintArea" localSheetId="2" hidden="1">'Секция 3А,3Б,3В'!$A$1:$AC$256</definedName>
    <definedName name="_xlnm.Print_Area" localSheetId="4">'ВДЦ ал.окна'!$A$1:$M$42</definedName>
    <definedName name="_xlnm.Print_Area" localSheetId="1">'Секция 1А,1Б'!$A$1:$P$151</definedName>
    <definedName name="_xlnm.Print_Area" localSheetId="0">'Секция 2А,2Б'!$A$1:$P$151</definedName>
    <definedName name="_xlnm.Print_Area" localSheetId="2">'Секция 3А,3Б,3В'!$A$1:$P$212</definedName>
  </definedNames>
  <calcPr calcId="191029"/>
  <customWorkbookViews>
    <customWorkbookView name="Козловская Юлия - Личное представление" guid="{6504194F-9A24-4D91-A908-D5C52AD552E6}" mergeInterval="0" personalView="1" xWindow="2050" yWindow="130" windowWidth="1440" windowHeight="759" activeSheetId="1"/>
    <customWorkbookView name="Анастасия Ермолаева - Личное представление" guid="{200FE767-226A-4241-904F-FDA0FE931B36}" mergeInterval="0" personalView="1" maximized="1" xWindow="-8" yWindow="-8" windowWidth="1936" windowHeight="1056" activeSheetId="1"/>
    <customWorkbookView name="Максим Ермаков - Личное представление" guid="{FF4F19E7-4806-4777-BD61-949420C2DC9E}" mergeInterval="0" personalView="1" maximized="1" xWindow="1" yWindow="1" windowWidth="1920" windowHeight="850" activeSheetId="1"/>
    <customWorkbookView name="Никитина М.А. - Личное представление" guid="{26DDE955-10AE-4017-BEF2-9636EE8B03C2}" mergeInterval="0" personalView="1" maximized="1" xWindow="-8" yWindow="-8" windowWidth="1936" windowHeight="1056" activeSheetId="1"/>
  </customWorkbookViews>
</workbook>
</file>

<file path=xl/calcChain.xml><?xml version="1.0" encoding="utf-8"?>
<calcChain xmlns="http://schemas.openxmlformats.org/spreadsheetml/2006/main">
  <c r="K115" i="8" l="1"/>
  <c r="K126" i="14"/>
  <c r="K15" i="18"/>
  <c r="K113" i="8"/>
  <c r="H97" i="8"/>
  <c r="H96" i="8"/>
  <c r="H95" i="8"/>
  <c r="H119" i="8"/>
  <c r="H123" i="8"/>
  <c r="H122" i="8"/>
  <c r="H121" i="8"/>
  <c r="H125" i="8"/>
  <c r="H195" i="18"/>
  <c r="H194" i="18"/>
  <c r="H193" i="18"/>
  <c r="H192" i="18"/>
  <c r="H129" i="18"/>
  <c r="H130" i="18"/>
  <c r="H131" i="18"/>
  <c r="H128" i="18"/>
  <c r="H69" i="14"/>
  <c r="H68" i="14"/>
  <c r="H67" i="14"/>
  <c r="H66" i="14"/>
  <c r="H132" i="14"/>
  <c r="H133" i="14"/>
  <c r="H134" i="14"/>
  <c r="H131" i="14"/>
  <c r="H130" i="8"/>
  <c r="H131" i="8"/>
  <c r="H132" i="8"/>
  <c r="H129" i="8"/>
  <c r="H77" i="8"/>
  <c r="H76" i="8"/>
  <c r="H75" i="8"/>
  <c r="H74" i="8"/>
  <c r="M198" i="18" l="1"/>
  <c r="N198" i="18" s="1"/>
  <c r="K198" i="18"/>
  <c r="K195" i="18"/>
  <c r="K194" i="18"/>
  <c r="K193" i="18"/>
  <c r="K192" i="18"/>
  <c r="K191" i="18"/>
  <c r="H191" i="18"/>
  <c r="L191" i="18" s="1"/>
  <c r="N191" i="18" s="1"/>
  <c r="M190" i="18"/>
  <c r="N190" i="18" s="1"/>
  <c r="K190" i="18"/>
  <c r="K188" i="18"/>
  <c r="H188" i="18"/>
  <c r="L188" i="18" s="1"/>
  <c r="N188" i="18" s="1"/>
  <c r="M187" i="18"/>
  <c r="N187" i="18" s="1"/>
  <c r="K187" i="18"/>
  <c r="K186" i="18"/>
  <c r="H186" i="18"/>
  <c r="L186" i="18" s="1"/>
  <c r="N186" i="18" s="1"/>
  <c r="K185" i="18"/>
  <c r="H185" i="18"/>
  <c r="L185" i="18" s="1"/>
  <c r="N185" i="18" s="1"/>
  <c r="K184" i="18"/>
  <c r="H184" i="18"/>
  <c r="L184" i="18" s="1"/>
  <c r="N184" i="18" s="1"/>
  <c r="K183" i="18"/>
  <c r="H183" i="18"/>
  <c r="M183" i="18" s="1"/>
  <c r="N183" i="18" s="1"/>
  <c r="K182" i="18"/>
  <c r="H182" i="18"/>
  <c r="L182" i="18" s="1"/>
  <c r="N182" i="18" s="1"/>
  <c r="K181" i="18"/>
  <c r="H181" i="18"/>
  <c r="M181" i="18" s="1"/>
  <c r="N181" i="18" s="1"/>
  <c r="L180" i="18"/>
  <c r="N180" i="18" s="1"/>
  <c r="K180" i="18"/>
  <c r="K179" i="18"/>
  <c r="H179" i="18"/>
  <c r="M179" i="18" s="1"/>
  <c r="N179" i="18" s="1"/>
  <c r="L178" i="18"/>
  <c r="N178" i="18" s="1"/>
  <c r="K178" i="18"/>
  <c r="K177" i="18"/>
  <c r="H177" i="18"/>
  <c r="M177" i="18" s="1"/>
  <c r="N177" i="18" s="1"/>
  <c r="L176" i="18"/>
  <c r="N176" i="18" s="1"/>
  <c r="K176" i="18"/>
  <c r="K175" i="18"/>
  <c r="H175" i="18"/>
  <c r="M175" i="18" s="1"/>
  <c r="N175" i="18" s="1"/>
  <c r="L174" i="18"/>
  <c r="N174" i="18" s="1"/>
  <c r="K174" i="18"/>
  <c r="K173" i="18"/>
  <c r="H173" i="18"/>
  <c r="M173" i="18" s="1"/>
  <c r="N173" i="18" s="1"/>
  <c r="L172" i="18"/>
  <c r="N172" i="18" s="1"/>
  <c r="K172" i="18"/>
  <c r="K171" i="18"/>
  <c r="H171" i="18"/>
  <c r="M171" i="18" s="1"/>
  <c r="N171" i="18" s="1"/>
  <c r="L170" i="18"/>
  <c r="N170" i="18" s="1"/>
  <c r="K170" i="18"/>
  <c r="K169" i="18"/>
  <c r="H169" i="18"/>
  <c r="M169" i="18" s="1"/>
  <c r="N169" i="18" s="1"/>
  <c r="K167" i="18"/>
  <c r="H167" i="18"/>
  <c r="L167" i="18" s="1"/>
  <c r="N167" i="18" s="1"/>
  <c r="K166" i="18"/>
  <c r="H166" i="18"/>
  <c r="M166" i="18" s="1"/>
  <c r="N166" i="18" s="1"/>
  <c r="K165" i="18"/>
  <c r="H165" i="18"/>
  <c r="L165" i="18" s="1"/>
  <c r="N165" i="18" s="1"/>
  <c r="K164" i="18"/>
  <c r="H164" i="18"/>
  <c r="L164" i="18" s="1"/>
  <c r="N164" i="18" s="1"/>
  <c r="K163" i="18"/>
  <c r="H163" i="18"/>
  <c r="L163" i="18" s="1"/>
  <c r="N163" i="18" s="1"/>
  <c r="K162" i="18"/>
  <c r="H162" i="18"/>
  <c r="M162" i="18" s="1"/>
  <c r="N162" i="18" s="1"/>
  <c r="L161" i="18"/>
  <c r="N161" i="18" s="1"/>
  <c r="K161" i="18"/>
  <c r="K160" i="18"/>
  <c r="H160" i="18"/>
  <c r="L160" i="18" s="1"/>
  <c r="N160" i="18" s="1"/>
  <c r="K159" i="18"/>
  <c r="H159" i="18"/>
  <c r="L159" i="18" s="1"/>
  <c r="N159" i="18" s="1"/>
  <c r="K158" i="18"/>
  <c r="H158" i="18"/>
  <c r="L158" i="18" s="1"/>
  <c r="N158" i="18" s="1"/>
  <c r="K157" i="18"/>
  <c r="H157" i="18"/>
  <c r="M157" i="18" s="1"/>
  <c r="N157" i="18" s="1"/>
  <c r="K156" i="18"/>
  <c r="H156" i="18"/>
  <c r="L156" i="18" s="1"/>
  <c r="N156" i="18" s="1"/>
  <c r="K155" i="18"/>
  <c r="H155" i="18"/>
  <c r="L155" i="18" s="1"/>
  <c r="N155" i="18" s="1"/>
  <c r="K154" i="18"/>
  <c r="H154" i="18"/>
  <c r="L154" i="18" s="1"/>
  <c r="N154" i="18" s="1"/>
  <c r="K153" i="18"/>
  <c r="H153" i="18"/>
  <c r="M153" i="18" s="1"/>
  <c r="N153" i="18" s="1"/>
  <c r="H152" i="18"/>
  <c r="H151" i="18"/>
  <c r="H150" i="18"/>
  <c r="H149" i="18"/>
  <c r="H148" i="18"/>
  <c r="H147" i="18"/>
  <c r="H146" i="18"/>
  <c r="L145" i="18"/>
  <c r="N145" i="18" s="1"/>
  <c r="K145" i="18"/>
  <c r="M144" i="18"/>
  <c r="N144" i="18" s="1"/>
  <c r="K144" i="18"/>
  <c r="L143" i="18"/>
  <c r="N143" i="18" s="1"/>
  <c r="K143" i="18"/>
  <c r="K142" i="18"/>
  <c r="H142" i="18"/>
  <c r="M142" i="18" s="1"/>
  <c r="N142" i="18" s="1"/>
  <c r="L141" i="18"/>
  <c r="N141" i="18" s="1"/>
  <c r="K141" i="18"/>
  <c r="L140" i="18"/>
  <c r="N140" i="18" s="1"/>
  <c r="K140" i="18"/>
  <c r="L139" i="18"/>
  <c r="N139" i="18" s="1"/>
  <c r="K139" i="18"/>
  <c r="L138" i="18"/>
  <c r="N138" i="18" s="1"/>
  <c r="K138" i="18"/>
  <c r="K137" i="18"/>
  <c r="H137" i="18"/>
  <c r="M137" i="18" s="1"/>
  <c r="N137" i="18" s="1"/>
  <c r="L136" i="18"/>
  <c r="N136" i="18" s="1"/>
  <c r="K136" i="18"/>
  <c r="L135" i="18"/>
  <c r="N135" i="18" s="1"/>
  <c r="K135" i="18"/>
  <c r="M134" i="18"/>
  <c r="N134" i="18" s="1"/>
  <c r="K134" i="18"/>
  <c r="K131" i="18"/>
  <c r="K130" i="18"/>
  <c r="K129" i="18"/>
  <c r="K128" i="18"/>
  <c r="L127" i="18"/>
  <c r="N127" i="18" s="1"/>
  <c r="K127" i="18"/>
  <c r="M126" i="18"/>
  <c r="N126" i="18" s="1"/>
  <c r="K126" i="18"/>
  <c r="K124" i="18"/>
  <c r="H124" i="18"/>
  <c r="L124" i="18" s="1"/>
  <c r="N124" i="18" s="1"/>
  <c r="M123" i="18"/>
  <c r="N123" i="18" s="1"/>
  <c r="K123" i="18"/>
  <c r="K122" i="18"/>
  <c r="H122" i="18"/>
  <c r="L122" i="18" s="1"/>
  <c r="N122" i="18" s="1"/>
  <c r="K121" i="18"/>
  <c r="H121" i="18"/>
  <c r="L121" i="18" s="1"/>
  <c r="N121" i="18" s="1"/>
  <c r="K120" i="18"/>
  <c r="H120" i="18"/>
  <c r="L120" i="18" s="1"/>
  <c r="N120" i="18" s="1"/>
  <c r="K119" i="18"/>
  <c r="H119" i="18"/>
  <c r="M119" i="18" s="1"/>
  <c r="N119" i="18" s="1"/>
  <c r="K118" i="18"/>
  <c r="H118" i="18"/>
  <c r="L118" i="18" s="1"/>
  <c r="N118" i="18" s="1"/>
  <c r="K117" i="18"/>
  <c r="H117" i="18"/>
  <c r="M117" i="18" s="1"/>
  <c r="N117" i="18" s="1"/>
  <c r="L116" i="18"/>
  <c r="N116" i="18" s="1"/>
  <c r="K116" i="18"/>
  <c r="K115" i="18"/>
  <c r="H115" i="18"/>
  <c r="M115" i="18" s="1"/>
  <c r="N115" i="18" s="1"/>
  <c r="L114" i="18"/>
  <c r="N114" i="18" s="1"/>
  <c r="K114" i="18"/>
  <c r="K113" i="18"/>
  <c r="H113" i="18"/>
  <c r="M113" i="18" s="1"/>
  <c r="N113" i="18" s="1"/>
  <c r="L112" i="18"/>
  <c r="N112" i="18" s="1"/>
  <c r="K112" i="18"/>
  <c r="K111" i="18"/>
  <c r="H111" i="18"/>
  <c r="M111" i="18" s="1"/>
  <c r="N111" i="18" s="1"/>
  <c r="L110" i="18"/>
  <c r="N110" i="18" s="1"/>
  <c r="K110" i="18"/>
  <c r="K109" i="18"/>
  <c r="H109" i="18"/>
  <c r="M109" i="18" s="1"/>
  <c r="N109" i="18" s="1"/>
  <c r="L108" i="18"/>
  <c r="N108" i="18" s="1"/>
  <c r="K108" i="18"/>
  <c r="K107" i="18"/>
  <c r="H107" i="18"/>
  <c r="M107" i="18" s="1"/>
  <c r="N107" i="18" s="1"/>
  <c r="L106" i="18"/>
  <c r="N106" i="18" s="1"/>
  <c r="K106" i="18"/>
  <c r="K105" i="18"/>
  <c r="H105" i="18"/>
  <c r="M105" i="18" s="1"/>
  <c r="N105" i="18" s="1"/>
  <c r="K103" i="18"/>
  <c r="H103" i="18"/>
  <c r="L103" i="18" s="1"/>
  <c r="N103" i="18" s="1"/>
  <c r="K102" i="18"/>
  <c r="H102" i="18"/>
  <c r="M102" i="18" s="1"/>
  <c r="N102" i="18" s="1"/>
  <c r="K101" i="18"/>
  <c r="H101" i="18"/>
  <c r="L101" i="18" s="1"/>
  <c r="N101" i="18" s="1"/>
  <c r="K100" i="18"/>
  <c r="H100" i="18"/>
  <c r="L100" i="18" s="1"/>
  <c r="N100" i="18" s="1"/>
  <c r="K99" i="18"/>
  <c r="H99" i="18"/>
  <c r="L99" i="18" s="1"/>
  <c r="N99" i="18" s="1"/>
  <c r="K98" i="18"/>
  <c r="H98" i="18"/>
  <c r="M98" i="18" s="1"/>
  <c r="N98" i="18" s="1"/>
  <c r="L97" i="18"/>
  <c r="N97" i="18" s="1"/>
  <c r="K97" i="18"/>
  <c r="K96" i="18"/>
  <c r="H96" i="18"/>
  <c r="L96" i="18" s="1"/>
  <c r="N96" i="18" s="1"/>
  <c r="K95" i="18"/>
  <c r="H95" i="18"/>
  <c r="L95" i="18" s="1"/>
  <c r="N95" i="18" s="1"/>
  <c r="K94" i="18"/>
  <c r="H94" i="18"/>
  <c r="L94" i="18" s="1"/>
  <c r="N94" i="18" s="1"/>
  <c r="K93" i="18"/>
  <c r="H93" i="18"/>
  <c r="M93" i="18" s="1"/>
  <c r="N93" i="18" s="1"/>
  <c r="K92" i="18"/>
  <c r="H92" i="18"/>
  <c r="L92" i="18" s="1"/>
  <c r="N92" i="18" s="1"/>
  <c r="K91" i="18"/>
  <c r="H91" i="18"/>
  <c r="L91" i="18" s="1"/>
  <c r="N91" i="18" s="1"/>
  <c r="K90" i="18"/>
  <c r="H90" i="18"/>
  <c r="L90" i="18" s="1"/>
  <c r="N90" i="18" s="1"/>
  <c r="K89" i="18"/>
  <c r="H89" i="18"/>
  <c r="M89" i="18" s="1"/>
  <c r="N89" i="18" s="1"/>
  <c r="L88" i="18"/>
  <c r="N88" i="18" s="1"/>
  <c r="K88" i="18"/>
  <c r="K87" i="18"/>
  <c r="H87" i="18"/>
  <c r="M87" i="18" s="1"/>
  <c r="N87" i="18" s="1"/>
  <c r="L86" i="18"/>
  <c r="N86" i="18" s="1"/>
  <c r="K86" i="18"/>
  <c r="L85" i="18"/>
  <c r="N85" i="18" s="1"/>
  <c r="K85" i="18"/>
  <c r="L84" i="18"/>
  <c r="N84" i="18" s="1"/>
  <c r="K84" i="18"/>
  <c r="L83" i="18"/>
  <c r="N83" i="18" s="1"/>
  <c r="K83" i="18"/>
  <c r="K82" i="18"/>
  <c r="H82" i="18"/>
  <c r="M82" i="18" s="1"/>
  <c r="N82" i="18" s="1"/>
  <c r="L81" i="18"/>
  <c r="N81" i="18" s="1"/>
  <c r="K81" i="18"/>
  <c r="L80" i="18"/>
  <c r="N80" i="18" s="1"/>
  <c r="K80" i="18"/>
  <c r="M79" i="18"/>
  <c r="N79" i="18" s="1"/>
  <c r="K79" i="18"/>
  <c r="M137" i="14"/>
  <c r="N137" i="14" s="1"/>
  <c r="K137" i="14"/>
  <c r="H93" i="14"/>
  <c r="L93" i="14" s="1"/>
  <c r="N93" i="14" s="1"/>
  <c r="K134" i="14"/>
  <c r="L134" i="14"/>
  <c r="N134" i="14" s="1"/>
  <c r="K133" i="14"/>
  <c r="L133" i="14"/>
  <c r="N133" i="14" s="1"/>
  <c r="K132" i="14"/>
  <c r="L132" i="14"/>
  <c r="N132" i="14" s="1"/>
  <c r="K131" i="14"/>
  <c r="L131" i="14"/>
  <c r="N131" i="14" s="1"/>
  <c r="L130" i="14"/>
  <c r="N130" i="14" s="1"/>
  <c r="K130" i="14"/>
  <c r="K129" i="14"/>
  <c r="H129" i="14"/>
  <c r="M129" i="14" s="1"/>
  <c r="N129" i="14" s="1"/>
  <c r="K127" i="14"/>
  <c r="H127" i="14"/>
  <c r="L127" i="14" s="1"/>
  <c r="N127" i="14" s="1"/>
  <c r="H126" i="14"/>
  <c r="M126" i="14" s="1"/>
  <c r="N126" i="14" s="1"/>
  <c r="L125" i="14"/>
  <c r="N125" i="14" s="1"/>
  <c r="K125" i="14"/>
  <c r="K124" i="14"/>
  <c r="H124" i="14"/>
  <c r="L124" i="14" s="1"/>
  <c r="N124" i="14" s="1"/>
  <c r="K123" i="14"/>
  <c r="H123" i="14"/>
  <c r="L123" i="14" s="1"/>
  <c r="N123" i="14" s="1"/>
  <c r="K122" i="14"/>
  <c r="H122" i="14"/>
  <c r="L122" i="14" s="1"/>
  <c r="N122" i="14" s="1"/>
  <c r="K121" i="14"/>
  <c r="H121" i="14"/>
  <c r="M121" i="14" s="1"/>
  <c r="N121" i="14" s="1"/>
  <c r="K120" i="14"/>
  <c r="H120" i="14"/>
  <c r="L120" i="14" s="1"/>
  <c r="N120" i="14" s="1"/>
  <c r="K119" i="14"/>
  <c r="H119" i="14"/>
  <c r="M119" i="14" s="1"/>
  <c r="N119" i="14" s="1"/>
  <c r="L118" i="14"/>
  <c r="N118" i="14" s="1"/>
  <c r="K118" i="14"/>
  <c r="K117" i="14"/>
  <c r="H117" i="14"/>
  <c r="M117" i="14" s="1"/>
  <c r="N117" i="14" s="1"/>
  <c r="L116" i="14"/>
  <c r="N116" i="14" s="1"/>
  <c r="K116" i="14"/>
  <c r="K115" i="14"/>
  <c r="H115" i="14"/>
  <c r="M115" i="14" s="1"/>
  <c r="N115" i="14" s="1"/>
  <c r="L114" i="14"/>
  <c r="N114" i="14" s="1"/>
  <c r="K114" i="14"/>
  <c r="K113" i="14"/>
  <c r="H113" i="14"/>
  <c r="M113" i="14" s="1"/>
  <c r="N113" i="14" s="1"/>
  <c r="L112" i="14"/>
  <c r="N112" i="14" s="1"/>
  <c r="K112" i="14"/>
  <c r="K111" i="14"/>
  <c r="H111" i="14"/>
  <c r="M111" i="14" s="1"/>
  <c r="N111" i="14" s="1"/>
  <c r="L110" i="14"/>
  <c r="N110" i="14" s="1"/>
  <c r="K110" i="14"/>
  <c r="K109" i="14"/>
  <c r="H109" i="14"/>
  <c r="M109" i="14" s="1"/>
  <c r="N109" i="14" s="1"/>
  <c r="L108" i="14"/>
  <c r="N108" i="14" s="1"/>
  <c r="K108" i="14"/>
  <c r="K107" i="14"/>
  <c r="H107" i="14"/>
  <c r="M107" i="14" s="1"/>
  <c r="N107" i="14" s="1"/>
  <c r="K105" i="14"/>
  <c r="H105" i="14"/>
  <c r="L105" i="14" s="1"/>
  <c r="N105" i="14" s="1"/>
  <c r="K104" i="14"/>
  <c r="H104" i="14"/>
  <c r="M104" i="14" s="1"/>
  <c r="N104" i="14" s="1"/>
  <c r="K103" i="14"/>
  <c r="H103" i="14"/>
  <c r="L103" i="14" s="1"/>
  <c r="N103" i="14" s="1"/>
  <c r="K102" i="14"/>
  <c r="H102" i="14"/>
  <c r="L102" i="14" s="1"/>
  <c r="N102" i="14" s="1"/>
  <c r="K101" i="14"/>
  <c r="H101" i="14"/>
  <c r="L101" i="14" s="1"/>
  <c r="N101" i="14" s="1"/>
  <c r="K100" i="14"/>
  <c r="H100" i="14"/>
  <c r="M100" i="14" s="1"/>
  <c r="N100" i="14" s="1"/>
  <c r="L99" i="14"/>
  <c r="N99" i="14" s="1"/>
  <c r="K99" i="14"/>
  <c r="K98" i="14"/>
  <c r="H98" i="14"/>
  <c r="L98" i="14" s="1"/>
  <c r="N98" i="14" s="1"/>
  <c r="K97" i="14"/>
  <c r="H97" i="14"/>
  <c r="L97" i="14" s="1"/>
  <c r="N97" i="14" s="1"/>
  <c r="K96" i="14"/>
  <c r="H96" i="14"/>
  <c r="L96" i="14" s="1"/>
  <c r="N96" i="14" s="1"/>
  <c r="K95" i="14"/>
  <c r="H95" i="14"/>
  <c r="M95" i="14" s="1"/>
  <c r="N95" i="14" s="1"/>
  <c r="K94" i="14"/>
  <c r="H94" i="14"/>
  <c r="L94" i="14" s="1"/>
  <c r="N94" i="14" s="1"/>
  <c r="K93" i="14"/>
  <c r="K92" i="14"/>
  <c r="H92" i="14"/>
  <c r="L92" i="14" s="1"/>
  <c r="N92" i="14" s="1"/>
  <c r="K91" i="14"/>
  <c r="H91" i="14"/>
  <c r="M91" i="14" s="1"/>
  <c r="N91" i="14" s="1"/>
  <c r="H90" i="14"/>
  <c r="H89" i="14"/>
  <c r="H88" i="14"/>
  <c r="H87" i="14"/>
  <c r="H86" i="14"/>
  <c r="H85" i="14"/>
  <c r="H84" i="14"/>
  <c r="L83" i="14"/>
  <c r="N83" i="14" s="1"/>
  <c r="K83" i="14"/>
  <c r="K82" i="14"/>
  <c r="H82" i="14"/>
  <c r="M82" i="14" s="1"/>
  <c r="N82" i="14" s="1"/>
  <c r="L81" i="14"/>
  <c r="N81" i="14" s="1"/>
  <c r="K81" i="14"/>
  <c r="K80" i="14"/>
  <c r="H80" i="14"/>
  <c r="M80" i="14" s="1"/>
  <c r="N80" i="14" s="1"/>
  <c r="L79" i="14"/>
  <c r="N79" i="14" s="1"/>
  <c r="K79" i="14"/>
  <c r="L78" i="14"/>
  <c r="N78" i="14" s="1"/>
  <c r="K78" i="14"/>
  <c r="L77" i="14"/>
  <c r="N77" i="14" s="1"/>
  <c r="K77" i="14"/>
  <c r="L76" i="14"/>
  <c r="N76" i="14" s="1"/>
  <c r="K76" i="14"/>
  <c r="K75" i="14"/>
  <c r="H75" i="14"/>
  <c r="M75" i="14" s="1"/>
  <c r="N75" i="14" s="1"/>
  <c r="L74" i="14"/>
  <c r="N74" i="14" s="1"/>
  <c r="K74" i="14"/>
  <c r="L73" i="14"/>
  <c r="N73" i="14" s="1"/>
  <c r="K73" i="14"/>
  <c r="M72" i="14"/>
  <c r="N72" i="14" s="1"/>
  <c r="K72" i="14"/>
  <c r="K132" i="8"/>
  <c r="K131" i="8"/>
  <c r="K130" i="8"/>
  <c r="K129" i="8"/>
  <c r="L128" i="8"/>
  <c r="N128" i="8" s="1"/>
  <c r="K128" i="8"/>
  <c r="K127" i="8"/>
  <c r="H127" i="8"/>
  <c r="M127" i="8" s="1"/>
  <c r="N127" i="8" s="1"/>
  <c r="M135" i="8"/>
  <c r="N135" i="8" s="1"/>
  <c r="K135" i="8"/>
  <c r="K125" i="8"/>
  <c r="L125" i="8"/>
  <c r="N125" i="8" s="1"/>
  <c r="K124" i="8"/>
  <c r="H124" i="8"/>
  <c r="M124" i="8" s="1"/>
  <c r="N124" i="8" s="1"/>
  <c r="K123" i="8"/>
  <c r="L123" i="8"/>
  <c r="N123" i="8" s="1"/>
  <c r="K122" i="8"/>
  <c r="L122" i="8"/>
  <c r="N122" i="8" s="1"/>
  <c r="K121" i="8"/>
  <c r="L121" i="8"/>
  <c r="N121" i="8" s="1"/>
  <c r="K120" i="8"/>
  <c r="H120" i="8"/>
  <c r="M120" i="8" s="1"/>
  <c r="N120" i="8" s="1"/>
  <c r="K119" i="8"/>
  <c r="L119" i="8"/>
  <c r="N119" i="8" s="1"/>
  <c r="K118" i="8"/>
  <c r="H118" i="8"/>
  <c r="M118" i="8" s="1"/>
  <c r="N118" i="8" s="1"/>
  <c r="L117" i="8"/>
  <c r="N117" i="8" s="1"/>
  <c r="K117" i="8"/>
  <c r="K116" i="8"/>
  <c r="H116" i="8"/>
  <c r="M116" i="8" s="1"/>
  <c r="N116" i="8" s="1"/>
  <c r="L115" i="8"/>
  <c r="N115" i="8" s="1"/>
  <c r="K114" i="8"/>
  <c r="H114" i="8"/>
  <c r="M114" i="8" s="1"/>
  <c r="N114" i="8" s="1"/>
  <c r="L113" i="8"/>
  <c r="N113" i="8" s="1"/>
  <c r="K112" i="8"/>
  <c r="H112" i="8"/>
  <c r="M112" i="8" s="1"/>
  <c r="N112" i="8" s="1"/>
  <c r="L111" i="8"/>
  <c r="N111" i="8" s="1"/>
  <c r="K111" i="8"/>
  <c r="K110" i="8"/>
  <c r="H110" i="8"/>
  <c r="M110" i="8" s="1"/>
  <c r="N110" i="8" s="1"/>
  <c r="L109" i="8"/>
  <c r="N109" i="8" s="1"/>
  <c r="K109" i="8"/>
  <c r="K108" i="8"/>
  <c r="H108" i="8"/>
  <c r="M108" i="8" s="1"/>
  <c r="N108" i="8" s="1"/>
  <c r="L107" i="8"/>
  <c r="N107" i="8" s="1"/>
  <c r="K107" i="8"/>
  <c r="K106" i="8"/>
  <c r="H106" i="8"/>
  <c r="M106" i="8" s="1"/>
  <c r="N106" i="8" s="1"/>
  <c r="K104" i="8"/>
  <c r="H104" i="8"/>
  <c r="L104" i="8" s="1"/>
  <c r="N104" i="8" s="1"/>
  <c r="K103" i="8"/>
  <c r="H103" i="8"/>
  <c r="M103" i="8" s="1"/>
  <c r="N103" i="8" s="1"/>
  <c r="K102" i="8"/>
  <c r="H102" i="8"/>
  <c r="L102" i="8" s="1"/>
  <c r="N102" i="8" s="1"/>
  <c r="K101" i="8"/>
  <c r="H101" i="8"/>
  <c r="L101" i="8" s="1"/>
  <c r="N101" i="8" s="1"/>
  <c r="K100" i="8"/>
  <c r="H100" i="8"/>
  <c r="L100" i="8" s="1"/>
  <c r="N100" i="8" s="1"/>
  <c r="K99" i="8"/>
  <c r="H99" i="8"/>
  <c r="M99" i="8" s="1"/>
  <c r="N99" i="8" s="1"/>
  <c r="L98" i="8"/>
  <c r="N98" i="8" s="1"/>
  <c r="K98" i="8"/>
  <c r="K97" i="8"/>
  <c r="L97" i="8"/>
  <c r="N97" i="8" s="1"/>
  <c r="K96" i="8"/>
  <c r="L96" i="8"/>
  <c r="N96" i="8" s="1"/>
  <c r="K95" i="8"/>
  <c r="L95" i="8"/>
  <c r="N95" i="8" s="1"/>
  <c r="K94" i="8"/>
  <c r="H94" i="8"/>
  <c r="M94" i="8" s="1"/>
  <c r="N94" i="8" s="1"/>
  <c r="K93" i="8"/>
  <c r="H93" i="8"/>
  <c r="L93" i="8" s="1"/>
  <c r="N93" i="8" s="1"/>
  <c r="K92" i="8"/>
  <c r="H92" i="8"/>
  <c r="L92" i="8" s="1"/>
  <c r="N92" i="8" s="1"/>
  <c r="K91" i="8"/>
  <c r="H91" i="8"/>
  <c r="L91" i="8" s="1"/>
  <c r="N91" i="8" s="1"/>
  <c r="K90" i="8"/>
  <c r="H90" i="8"/>
  <c r="M90" i="8" s="1"/>
  <c r="N90" i="8" s="1"/>
  <c r="L89" i="8"/>
  <c r="N89" i="8" s="1"/>
  <c r="K89" i="8"/>
  <c r="K88" i="8"/>
  <c r="H88" i="8"/>
  <c r="M88" i="8" s="1"/>
  <c r="N88" i="8" s="1"/>
  <c r="L87" i="8"/>
  <c r="N87" i="8" s="1"/>
  <c r="K87" i="8"/>
  <c r="L86" i="8"/>
  <c r="N86" i="8" s="1"/>
  <c r="K86" i="8"/>
  <c r="L85" i="8"/>
  <c r="N85" i="8" s="1"/>
  <c r="K85" i="8"/>
  <c r="L84" i="8"/>
  <c r="N84" i="8" s="1"/>
  <c r="K84" i="8"/>
  <c r="K83" i="8"/>
  <c r="H83" i="8"/>
  <c r="M83" i="8" s="1"/>
  <c r="N83" i="8" s="1"/>
  <c r="L82" i="8"/>
  <c r="N82" i="8" s="1"/>
  <c r="K82" i="8"/>
  <c r="L81" i="8"/>
  <c r="N81" i="8" s="1"/>
  <c r="K81" i="8"/>
  <c r="M80" i="8"/>
  <c r="N80" i="8" s="1"/>
  <c r="K80" i="8"/>
  <c r="H69" i="18"/>
  <c r="K69" i="18"/>
  <c r="L69" i="18"/>
  <c r="N69" i="18" s="1"/>
  <c r="K68" i="18"/>
  <c r="M68" i="18"/>
  <c r="N68" i="18" s="1"/>
  <c r="H64" i="18"/>
  <c r="M64" i="18" s="1"/>
  <c r="N64" i="18" s="1"/>
  <c r="H65" i="18"/>
  <c r="K65" i="18"/>
  <c r="L65" i="18"/>
  <c r="N65" i="18" s="1"/>
  <c r="K64" i="18"/>
  <c r="H63" i="18"/>
  <c r="L131" i="18" s="1"/>
  <c r="N131" i="18" s="1"/>
  <c r="H62" i="18"/>
  <c r="H34" i="18"/>
  <c r="H38" i="18"/>
  <c r="M38" i="18" s="1"/>
  <c r="N38" i="18" s="1"/>
  <c r="H39" i="18"/>
  <c r="L39" i="18" s="1"/>
  <c r="N39" i="18" s="1"/>
  <c r="H35" i="18"/>
  <c r="H43" i="18"/>
  <c r="M43" i="18" s="1"/>
  <c r="N43" i="18" s="1"/>
  <c r="H46" i="18"/>
  <c r="H45" i="18"/>
  <c r="L45" i="18" s="1"/>
  <c r="N45" i="18" s="1"/>
  <c r="K45" i="18"/>
  <c r="H44" i="18"/>
  <c r="L44" i="18" s="1"/>
  <c r="N44" i="18" s="1"/>
  <c r="K44" i="18"/>
  <c r="K43" i="18"/>
  <c r="H40" i="18"/>
  <c r="K39" i="18"/>
  <c r="K38" i="18"/>
  <c r="M34" i="18"/>
  <c r="N34" i="18" s="1"/>
  <c r="H37" i="18"/>
  <c r="L37" i="18" s="1"/>
  <c r="N37" i="18" s="1"/>
  <c r="K37" i="18"/>
  <c r="H36" i="18"/>
  <c r="L36" i="18" s="1"/>
  <c r="N36" i="18" s="1"/>
  <c r="K36" i="18"/>
  <c r="K34" i="18"/>
  <c r="H62" i="14"/>
  <c r="K62" i="14"/>
  <c r="L62" i="14"/>
  <c r="N62" i="14" s="1"/>
  <c r="K61" i="14"/>
  <c r="M61" i="14"/>
  <c r="N61" i="14" s="1"/>
  <c r="H59" i="14"/>
  <c r="H56" i="14"/>
  <c r="M56" i="14" s="1"/>
  <c r="N56" i="14" s="1"/>
  <c r="H58" i="14"/>
  <c r="H57" i="14"/>
  <c r="L57" i="14" s="1"/>
  <c r="N57" i="14" s="1"/>
  <c r="K57" i="14"/>
  <c r="K56" i="14"/>
  <c r="H55" i="14"/>
  <c r="H54" i="14"/>
  <c r="H35" i="14"/>
  <c r="M35" i="14" s="1"/>
  <c r="N35" i="14" s="1"/>
  <c r="H38" i="14"/>
  <c r="H37" i="14"/>
  <c r="H36" i="14"/>
  <c r="L36" i="14" s="1"/>
  <c r="N36" i="14" s="1"/>
  <c r="K36" i="14"/>
  <c r="K35" i="14"/>
  <c r="H29" i="14"/>
  <c r="H31" i="14"/>
  <c r="K31" i="14"/>
  <c r="L31" i="14"/>
  <c r="N31" i="14" s="1"/>
  <c r="H30" i="14"/>
  <c r="L30" i="14" s="1"/>
  <c r="N30" i="14" s="1"/>
  <c r="K30" i="14"/>
  <c r="K29" i="14"/>
  <c r="M29" i="14"/>
  <c r="N29" i="14" s="1"/>
  <c r="H25" i="14"/>
  <c r="M25" i="14" s="1"/>
  <c r="N25" i="14" s="1"/>
  <c r="H28" i="14"/>
  <c r="L28" i="14" s="1"/>
  <c r="N28" i="14" s="1"/>
  <c r="K28" i="14"/>
  <c r="H27" i="14"/>
  <c r="L27" i="14" s="1"/>
  <c r="N27" i="14" s="1"/>
  <c r="K27" i="14"/>
  <c r="H26" i="14"/>
  <c r="K25" i="14"/>
  <c r="L128" i="18" l="1"/>
  <c r="N128" i="18" s="1"/>
  <c r="L129" i="18"/>
  <c r="N129" i="18" s="1"/>
  <c r="L130" i="18"/>
  <c r="N130" i="18" s="1"/>
  <c r="H70" i="8"/>
  <c r="L70" i="8" s="1"/>
  <c r="N70" i="8" s="1"/>
  <c r="K70" i="8"/>
  <c r="M69" i="8"/>
  <c r="N69" i="8" s="1"/>
  <c r="K69" i="8"/>
  <c r="H67" i="8"/>
  <c r="L67" i="8" s="1"/>
  <c r="N67" i="8" s="1"/>
  <c r="H66" i="8"/>
  <c r="L66" i="8" s="1"/>
  <c r="N66" i="8" s="1"/>
  <c r="K67" i="8"/>
  <c r="K66" i="8"/>
  <c r="K65" i="8"/>
  <c r="M65" i="8"/>
  <c r="N65" i="8" s="1"/>
  <c r="H62" i="8"/>
  <c r="H64" i="8"/>
  <c r="L64" i="8" s="1"/>
  <c r="N64" i="8" s="1"/>
  <c r="K64" i="8"/>
  <c r="H63" i="8"/>
  <c r="H41" i="8"/>
  <c r="H38" i="8"/>
  <c r="H39" i="8"/>
  <c r="H43" i="8"/>
  <c r="M43" i="8" s="1"/>
  <c r="N43" i="8" s="1"/>
  <c r="H46" i="8"/>
  <c r="L46" i="8" s="1"/>
  <c r="N46" i="8" s="1"/>
  <c r="K46" i="8"/>
  <c r="H45" i="8"/>
  <c r="L45" i="8" s="1"/>
  <c r="N45" i="8" s="1"/>
  <c r="K45" i="8"/>
  <c r="H44" i="8"/>
  <c r="L44" i="8" s="1"/>
  <c r="N44" i="8" s="1"/>
  <c r="K44" i="8"/>
  <c r="K43" i="8"/>
  <c r="H40" i="8"/>
  <c r="L132" i="8" l="1"/>
  <c r="N132" i="8" s="1"/>
  <c r="L131" i="8"/>
  <c r="N131" i="8" s="1"/>
  <c r="L130" i="8"/>
  <c r="N130" i="8" s="1"/>
  <c r="L129" i="8"/>
  <c r="K40" i="8"/>
  <c r="L40" i="8"/>
  <c r="N40" i="8" s="1"/>
  <c r="K39" i="8"/>
  <c r="L39" i="8"/>
  <c r="N39" i="8" s="1"/>
  <c r="K38" i="8"/>
  <c r="M38" i="8"/>
  <c r="N38" i="8" s="1"/>
  <c r="H34" i="8"/>
  <c r="H37" i="8"/>
  <c r="H36" i="8"/>
  <c r="H35" i="8"/>
  <c r="N129" i="8" l="1"/>
  <c r="H74" i="18"/>
  <c r="H75" i="18"/>
  <c r="H76" i="18"/>
  <c r="H73" i="18"/>
  <c r="K76" i="18"/>
  <c r="K75" i="18"/>
  <c r="K74" i="18"/>
  <c r="K73" i="18"/>
  <c r="L67" i="14"/>
  <c r="N67" i="14" s="1"/>
  <c r="L68" i="14"/>
  <c r="N68" i="14" s="1"/>
  <c r="L69" i="14"/>
  <c r="N69" i="14" s="1"/>
  <c r="L66" i="14"/>
  <c r="N66" i="14" s="1"/>
  <c r="K69" i="14"/>
  <c r="K68" i="14"/>
  <c r="K67" i="14"/>
  <c r="K66" i="14"/>
  <c r="L75" i="8"/>
  <c r="N75" i="8" s="1"/>
  <c r="L76" i="8"/>
  <c r="N76" i="8" s="1"/>
  <c r="L77" i="8"/>
  <c r="N77" i="8" s="1"/>
  <c r="K77" i="8"/>
  <c r="K76" i="8"/>
  <c r="K75" i="8"/>
  <c r="L74" i="8" l="1"/>
  <c r="K74" i="8"/>
  <c r="L72" i="18"/>
  <c r="N72" i="18" s="1"/>
  <c r="K72" i="18"/>
  <c r="K71" i="18"/>
  <c r="H71" i="18"/>
  <c r="L65" i="14"/>
  <c r="N65" i="14" s="1"/>
  <c r="K65" i="14"/>
  <c r="K64" i="14"/>
  <c r="H64" i="14"/>
  <c r="M64" i="14" s="1"/>
  <c r="N64" i="14" s="1"/>
  <c r="H72" i="8"/>
  <c r="K73" i="8"/>
  <c r="L73" i="8"/>
  <c r="N73" i="8" s="1"/>
  <c r="K72" i="8"/>
  <c r="M72" i="8"/>
  <c r="N72" i="8" s="1"/>
  <c r="H41" i="18"/>
  <c r="L41" i="18" s="1"/>
  <c r="N41" i="18" s="1"/>
  <c r="L40" i="18"/>
  <c r="N40" i="18" s="1"/>
  <c r="L35" i="18"/>
  <c r="N35" i="18" s="1"/>
  <c r="H48" i="18"/>
  <c r="M62" i="18"/>
  <c r="N62" i="18" s="1"/>
  <c r="H67" i="18"/>
  <c r="L67" i="18" s="1"/>
  <c r="N67" i="18" s="1"/>
  <c r="H66" i="18"/>
  <c r="L66" i="18" s="1"/>
  <c r="N66" i="18" s="1"/>
  <c r="L63" i="18"/>
  <c r="N63" i="18" s="1"/>
  <c r="K67" i="18"/>
  <c r="K66" i="18"/>
  <c r="K63" i="18"/>
  <c r="K62" i="18"/>
  <c r="L61" i="18"/>
  <c r="N61" i="18" s="1"/>
  <c r="K61" i="18"/>
  <c r="K60" i="18"/>
  <c r="H60" i="18"/>
  <c r="M60" i="18" s="1"/>
  <c r="N60" i="18" s="1"/>
  <c r="L59" i="18"/>
  <c r="N59" i="18" s="1"/>
  <c r="K59" i="18"/>
  <c r="K58" i="18"/>
  <c r="H58" i="18"/>
  <c r="M58" i="18" s="1"/>
  <c r="N58" i="18" s="1"/>
  <c r="L57" i="18"/>
  <c r="N57" i="18" s="1"/>
  <c r="K57" i="18"/>
  <c r="K56" i="18"/>
  <c r="H56" i="18"/>
  <c r="M56" i="18" s="1"/>
  <c r="N56" i="18" s="1"/>
  <c r="L55" i="18"/>
  <c r="N55" i="18" s="1"/>
  <c r="K55" i="18"/>
  <c r="K54" i="18"/>
  <c r="H54" i="18"/>
  <c r="M54" i="18" s="1"/>
  <c r="N54" i="18" s="1"/>
  <c r="L53" i="18"/>
  <c r="N53" i="18" s="1"/>
  <c r="K53" i="18"/>
  <c r="K52" i="18"/>
  <c r="H52" i="18"/>
  <c r="M52" i="18" s="1"/>
  <c r="N52" i="18" s="1"/>
  <c r="L51" i="18"/>
  <c r="N51" i="18" s="1"/>
  <c r="K51" i="18"/>
  <c r="K50" i="18"/>
  <c r="H50" i="18"/>
  <c r="M50" i="18" s="1"/>
  <c r="N50" i="18" s="1"/>
  <c r="K48" i="18"/>
  <c r="L48" i="18"/>
  <c r="N48" i="18" s="1"/>
  <c r="K47" i="18"/>
  <c r="H47" i="18"/>
  <c r="M47" i="18" s="1"/>
  <c r="N47" i="18" s="1"/>
  <c r="L42" i="18"/>
  <c r="N42" i="18" s="1"/>
  <c r="K42" i="18"/>
  <c r="K41" i="18"/>
  <c r="K40" i="18"/>
  <c r="K46" i="18"/>
  <c r="L46" i="18"/>
  <c r="N46" i="18" s="1"/>
  <c r="K35" i="18"/>
  <c r="H33" i="18"/>
  <c r="H32" i="18"/>
  <c r="H31" i="18"/>
  <c r="H30" i="18"/>
  <c r="H29" i="18"/>
  <c r="H28" i="18"/>
  <c r="H27" i="18"/>
  <c r="L26" i="18"/>
  <c r="N26" i="18" s="1"/>
  <c r="K26" i="18"/>
  <c r="K25" i="18"/>
  <c r="H25" i="18"/>
  <c r="M25" i="18" s="1"/>
  <c r="N25" i="18" s="1"/>
  <c r="L24" i="18"/>
  <c r="N24" i="18" s="1"/>
  <c r="K24" i="18"/>
  <c r="K23" i="18"/>
  <c r="H23" i="18"/>
  <c r="M23" i="18" s="1"/>
  <c r="N23" i="18" s="1"/>
  <c r="L22" i="18"/>
  <c r="N22" i="18" s="1"/>
  <c r="K22" i="18"/>
  <c r="L21" i="18"/>
  <c r="N21" i="18" s="1"/>
  <c r="K21" i="18"/>
  <c r="L20" i="18"/>
  <c r="N20" i="18" s="1"/>
  <c r="K20" i="18"/>
  <c r="L19" i="18"/>
  <c r="N19" i="18" s="1"/>
  <c r="K19" i="18"/>
  <c r="K18" i="18"/>
  <c r="H18" i="18"/>
  <c r="M18" i="18" s="1"/>
  <c r="N18" i="18" s="1"/>
  <c r="L17" i="18"/>
  <c r="N17" i="18" s="1"/>
  <c r="K17" i="18"/>
  <c r="L16" i="18"/>
  <c r="K16" i="18"/>
  <c r="M15" i="18"/>
  <c r="M71" i="18" l="1"/>
  <c r="N71" i="18" s="1"/>
  <c r="L195" i="18"/>
  <c r="N195" i="18" s="1"/>
  <c r="L194" i="18"/>
  <c r="N194" i="18" s="1"/>
  <c r="L193" i="18"/>
  <c r="N193" i="18" s="1"/>
  <c r="L192" i="18"/>
  <c r="N192" i="18" s="1"/>
  <c r="N74" i="8"/>
  <c r="N15" i="18"/>
  <c r="N16" i="18"/>
  <c r="H32" i="14"/>
  <c r="L32" i="14" s="1"/>
  <c r="N32" i="14" s="1"/>
  <c r="L38" i="14"/>
  <c r="N38" i="14" s="1"/>
  <c r="L37" i="14"/>
  <c r="N37" i="14" s="1"/>
  <c r="L26" i="14"/>
  <c r="N26" i="14" s="1"/>
  <c r="L34" i="14"/>
  <c r="N34" i="14" s="1"/>
  <c r="K34" i="14"/>
  <c r="H40" i="14"/>
  <c r="L40" i="14" s="1"/>
  <c r="N40" i="14" s="1"/>
  <c r="L58" i="14"/>
  <c r="N58" i="14" s="1"/>
  <c r="L55" i="14"/>
  <c r="N55" i="14" s="1"/>
  <c r="M54" i="14"/>
  <c r="N54" i="14" s="1"/>
  <c r="K60" i="14"/>
  <c r="L60" i="14"/>
  <c r="N60" i="14" s="1"/>
  <c r="H60" i="8"/>
  <c r="H52" i="14"/>
  <c r="M52" i="14" s="1"/>
  <c r="N52" i="14" s="1"/>
  <c r="H42" i="14"/>
  <c r="M42" i="14" s="1"/>
  <c r="K59" i="14"/>
  <c r="L59" i="14"/>
  <c r="N59" i="14" s="1"/>
  <c r="K58" i="14"/>
  <c r="K55" i="14"/>
  <c r="K54" i="14"/>
  <c r="L53" i="14"/>
  <c r="N53" i="14" s="1"/>
  <c r="K53" i="14"/>
  <c r="K52" i="14"/>
  <c r="L51" i="14"/>
  <c r="N51" i="14" s="1"/>
  <c r="K51" i="14"/>
  <c r="K50" i="14"/>
  <c r="H50" i="14"/>
  <c r="M50" i="14" s="1"/>
  <c r="N50" i="14" s="1"/>
  <c r="L49" i="14"/>
  <c r="N49" i="14" s="1"/>
  <c r="K49" i="14"/>
  <c r="K48" i="14"/>
  <c r="H48" i="14"/>
  <c r="M48" i="14" s="1"/>
  <c r="N48" i="14" s="1"/>
  <c r="L47" i="14"/>
  <c r="N47" i="14" s="1"/>
  <c r="K47" i="14"/>
  <c r="K46" i="14"/>
  <c r="H46" i="14"/>
  <c r="M46" i="14" s="1"/>
  <c r="N46" i="14" s="1"/>
  <c r="L45" i="14"/>
  <c r="N45" i="14" s="1"/>
  <c r="K45" i="14"/>
  <c r="K44" i="14"/>
  <c r="H44" i="14"/>
  <c r="M44" i="14" s="1"/>
  <c r="N44" i="14" s="1"/>
  <c r="L43" i="14"/>
  <c r="K43" i="14"/>
  <c r="K42" i="14"/>
  <c r="K40" i="14"/>
  <c r="K39" i="14"/>
  <c r="L33" i="14"/>
  <c r="N33" i="14" s="1"/>
  <c r="K33" i="14"/>
  <c r="K32" i="14"/>
  <c r="K38" i="14"/>
  <c r="K37" i="14"/>
  <c r="K26" i="14"/>
  <c r="L24" i="14"/>
  <c r="N24" i="14" s="1"/>
  <c r="K24" i="14"/>
  <c r="K23" i="14"/>
  <c r="H23" i="14"/>
  <c r="M23" i="14" s="1"/>
  <c r="N23" i="14" s="1"/>
  <c r="L22" i="14"/>
  <c r="N22" i="14" s="1"/>
  <c r="K22" i="14"/>
  <c r="L21" i="14"/>
  <c r="N21" i="14" s="1"/>
  <c r="K21" i="14"/>
  <c r="L20" i="14"/>
  <c r="N20" i="14" s="1"/>
  <c r="K20" i="14"/>
  <c r="L19" i="14"/>
  <c r="N19" i="14" s="1"/>
  <c r="K19" i="14"/>
  <c r="K18" i="14"/>
  <c r="H18" i="14"/>
  <c r="M18" i="14" s="1"/>
  <c r="N18" i="14" s="1"/>
  <c r="L17" i="14"/>
  <c r="N17" i="14" s="1"/>
  <c r="K17" i="14"/>
  <c r="L16" i="14"/>
  <c r="K16" i="14"/>
  <c r="M15" i="14"/>
  <c r="K15" i="14"/>
  <c r="L138" i="14" l="1"/>
  <c r="M199" i="18"/>
  <c r="N42" i="14"/>
  <c r="N43" i="14"/>
  <c r="H39" i="14"/>
  <c r="M39" i="14" s="1"/>
  <c r="N39" i="14" s="1"/>
  <c r="N15" i="14"/>
  <c r="N16" i="14"/>
  <c r="N138" i="14" l="1"/>
  <c r="N139" i="14" s="1"/>
  <c r="M138" i="14"/>
  <c r="H23" i="8" l="1"/>
  <c r="M23" i="8" s="1"/>
  <c r="N23" i="8" s="1"/>
  <c r="L24" i="8"/>
  <c r="N24" i="8" s="1"/>
  <c r="K24" i="8"/>
  <c r="K23" i="8"/>
  <c r="H48" i="8"/>
  <c r="K42" i="8" l="1"/>
  <c r="L42" i="8"/>
  <c r="N42" i="8" s="1"/>
  <c r="K20" i="8"/>
  <c r="K21" i="8"/>
  <c r="K22" i="8"/>
  <c r="L22" i="8"/>
  <c r="N22" i="8" s="1"/>
  <c r="L21" i="8"/>
  <c r="N21" i="8" s="1"/>
  <c r="H18" i="8"/>
  <c r="H47" i="8"/>
  <c r="M47" i="8" s="1"/>
  <c r="N47" i="8" s="1"/>
  <c r="K47" i="8"/>
  <c r="K19" i="8"/>
  <c r="L19" i="8"/>
  <c r="N19" i="8" s="1"/>
  <c r="K26" i="8" l="1"/>
  <c r="H33" i="8"/>
  <c r="H32" i="8"/>
  <c r="H31" i="8"/>
  <c r="H30" i="8"/>
  <c r="H29" i="8"/>
  <c r="H28" i="8"/>
  <c r="H27" i="8"/>
  <c r="H25" i="8"/>
  <c r="K36" i="8"/>
  <c r="K37" i="8"/>
  <c r="K41" i="8"/>
  <c r="K35" i="8"/>
  <c r="L41" i="8"/>
  <c r="N41" i="8" s="1"/>
  <c r="L37" i="8"/>
  <c r="N37" i="8" s="1"/>
  <c r="L36" i="8"/>
  <c r="N36" i="8" s="1"/>
  <c r="L35" i="8"/>
  <c r="N35" i="8" s="1"/>
  <c r="K34" i="8"/>
  <c r="M34" i="8"/>
  <c r="N34" i="8" s="1"/>
  <c r="K25" i="8"/>
  <c r="H68" i="8"/>
  <c r="K68" i="8" l="1"/>
  <c r="L68" i="8"/>
  <c r="N68" i="8" s="1"/>
  <c r="L63" i="8"/>
  <c r="N63" i="8" s="1"/>
  <c r="K63" i="8"/>
  <c r="K62" i="8"/>
  <c r="M62" i="8"/>
  <c r="N62" i="8" s="1"/>
  <c r="L61" i="8"/>
  <c r="N61" i="8" s="1"/>
  <c r="K61" i="8"/>
  <c r="K60" i="8"/>
  <c r="M60" i="8"/>
  <c r="N60" i="8" s="1"/>
  <c r="L59" i="8"/>
  <c r="N59" i="8" s="1"/>
  <c r="K59" i="8"/>
  <c r="K58" i="8"/>
  <c r="H58" i="8"/>
  <c r="M58" i="8" s="1"/>
  <c r="N58" i="8" s="1"/>
  <c r="H54" i="8"/>
  <c r="H52" i="8"/>
  <c r="H50" i="8"/>
  <c r="M25" i="8" s="1"/>
  <c r="N25" i="8" s="1"/>
  <c r="M18" i="8" l="1"/>
  <c r="N18" i="8" s="1"/>
  <c r="K57" i="8"/>
  <c r="K56" i="8"/>
  <c r="L55" i="8"/>
  <c r="N55" i="8" s="1"/>
  <c r="K55" i="8"/>
  <c r="K54" i="8"/>
  <c r="L53" i="8"/>
  <c r="N53" i="8" s="1"/>
  <c r="K53" i="8"/>
  <c r="K52" i="8"/>
  <c r="M52" i="8"/>
  <c r="N52" i="8" s="1"/>
  <c r="L51" i="8"/>
  <c r="N51" i="8" s="1"/>
  <c r="K51" i="8"/>
  <c r="K50" i="8"/>
  <c r="M50" i="8"/>
  <c r="N50" i="8" s="1"/>
  <c r="L26" i="8"/>
  <c r="N26" i="8" s="1"/>
  <c r="L48" i="8"/>
  <c r="N48" i="8" s="1"/>
  <c r="K48" i="8"/>
  <c r="L20" i="8"/>
  <c r="N20" i="8" s="1"/>
  <c r="K18" i="8"/>
  <c r="L17" i="8"/>
  <c r="N17" i="8" s="1"/>
  <c r="K17" i="8"/>
  <c r="L16" i="8"/>
  <c r="K16" i="8"/>
  <c r="K15" i="8"/>
  <c r="M15" i="8"/>
  <c r="N16" i="8" l="1"/>
  <c r="H56" i="8"/>
  <c r="N15" i="8"/>
  <c r="L57" i="8"/>
  <c r="N57" i="8" s="1"/>
  <c r="M54" i="8"/>
  <c r="N54" i="8" s="1"/>
  <c r="M56" i="8" l="1"/>
  <c r="N56" i="8" s="1"/>
  <c r="N136" i="8" s="1"/>
  <c r="N137" i="8" s="1"/>
  <c r="L136" i="8"/>
  <c r="M136" i="8"/>
  <c r="G16" i="3"/>
  <c r="C28" i="3" l="1"/>
  <c r="C27" i="3"/>
  <c r="C26" i="3"/>
  <c r="C25" i="3"/>
  <c r="C24" i="3"/>
  <c r="C23" i="3"/>
  <c r="C22" i="3"/>
  <c r="C21" i="3"/>
  <c r="C20" i="3"/>
  <c r="C19" i="3"/>
  <c r="C18" i="3"/>
  <c r="C17" i="3"/>
  <c r="L28" i="3"/>
  <c r="K28" i="3"/>
  <c r="J28" i="3"/>
  <c r="L27" i="3"/>
  <c r="K27" i="3"/>
  <c r="J27" i="3"/>
  <c r="L26" i="3"/>
  <c r="K26" i="3"/>
  <c r="J26" i="3"/>
  <c r="L25" i="3"/>
  <c r="K25" i="3"/>
  <c r="J25" i="3"/>
  <c r="L24" i="3"/>
  <c r="K24" i="3"/>
  <c r="J24" i="3"/>
  <c r="L23" i="3"/>
  <c r="K23" i="3"/>
  <c r="J23" i="3"/>
  <c r="L22" i="3"/>
  <c r="K22" i="3"/>
  <c r="J22" i="3"/>
  <c r="L21" i="3"/>
  <c r="K21" i="3"/>
  <c r="J21" i="3"/>
  <c r="L20" i="3"/>
  <c r="K20" i="3"/>
  <c r="J20" i="3"/>
  <c r="L19" i="3"/>
  <c r="K19" i="3"/>
  <c r="J19" i="3"/>
  <c r="L18" i="3"/>
  <c r="K18" i="3"/>
  <c r="J18" i="3"/>
  <c r="L17" i="3"/>
  <c r="K17" i="3"/>
  <c r="J17" i="3"/>
  <c r="M17" i="3" l="1"/>
  <c r="M23" i="3"/>
  <c r="M24" i="3"/>
  <c r="M25" i="3"/>
  <c r="M27" i="3"/>
  <c r="M28" i="3"/>
  <c r="L16" i="3"/>
  <c r="M21" i="3"/>
  <c r="M22" i="3"/>
  <c r="M26" i="3"/>
  <c r="M19" i="3"/>
  <c r="M20" i="3"/>
  <c r="K16" i="3"/>
  <c r="M18" i="3"/>
  <c r="K15" i="3" l="1"/>
  <c r="K29" i="3"/>
  <c r="L15" i="3"/>
  <c r="L29" i="3"/>
  <c r="M16" i="3"/>
  <c r="M15" i="3" l="1"/>
  <c r="M29" i="3"/>
  <c r="M30" i="3" s="1"/>
  <c r="L76" i="18"/>
  <c r="N76" i="18" s="1"/>
  <c r="L75" i="18"/>
  <c r="N75" i="18" s="1"/>
  <c r="L73" i="18"/>
  <c r="L74" i="18"/>
  <c r="N74" i="18" s="1"/>
  <c r="L199" i="18" l="1"/>
  <c r="N73" i="18"/>
  <c r="N199" i="18" s="1"/>
  <c r="N200" i="18" l="1"/>
</calcChain>
</file>

<file path=xl/sharedStrings.xml><?xml version="1.0" encoding="utf-8"?>
<sst xmlns="http://schemas.openxmlformats.org/spreadsheetml/2006/main" count="2096" uniqueCount="362">
  <si>
    <t>540118</t>
  </si>
  <si>
    <t>Код</t>
  </si>
  <si>
    <t>Примечание</t>
  </si>
  <si>
    <t>Материалы/ оборудование</t>
  </si>
  <si>
    <t>м.п.</t>
  </si>
  <si>
    <t>СОГЛАСОВАНО:</t>
  </si>
  <si>
    <t>договорная цена</t>
  </si>
  <si>
    <t>2</t>
  </si>
  <si>
    <t>ООО СЗ «Крылья»</t>
  </si>
  <si>
    <t>шт.</t>
  </si>
  <si>
    <t>Кол-во</t>
  </si>
  <si>
    <t>Стоимость, руб. в т.ч. НДС</t>
  </si>
  <si>
    <t>1</t>
  </si>
  <si>
    <t>1.1</t>
  </si>
  <si>
    <t>1.2</t>
  </si>
  <si>
    <t>1.3</t>
  </si>
  <si>
    <t>1.4</t>
  </si>
  <si>
    <t>Наименование  затрат</t>
  </si>
  <si>
    <t>номер п/п</t>
  </si>
  <si>
    <t>Ед. изм.</t>
  </si>
  <si>
    <t>Коэф. Расхода</t>
  </si>
  <si>
    <t>Цена, руб. в т.ч.  НДС</t>
  </si>
  <si>
    <t>Цена, руб.в т.ч  НДС</t>
  </si>
  <si>
    <t>Общая стоимость,
руб. в т.ч. НДС</t>
  </si>
  <si>
    <t>СМР, ПНР</t>
  </si>
  <si>
    <t>*</t>
  </si>
  <si>
    <t>* в случае применения УСН не указывается</t>
  </si>
  <si>
    <t>Общая стоимость работ</t>
  </si>
  <si>
    <t xml:space="preserve"> в т.ч. НДС 20% </t>
  </si>
  <si>
    <r>
      <rPr>
        <b/>
        <sz val="12"/>
        <color rgb="FF000000"/>
        <rFont val="Calibri"/>
        <family val="2"/>
        <charset val="204"/>
        <scheme val="minor"/>
      </rPr>
      <t xml:space="preserve"> на объекте:</t>
    </r>
    <r>
      <rPr>
        <sz val="12"/>
        <color indexed="64"/>
        <rFont val="Calibri"/>
        <family val="2"/>
        <charset val="204"/>
        <scheme val="minor"/>
      </rPr>
      <t xml:space="preserve"> </t>
    </r>
    <r>
      <rPr>
        <u/>
        <sz val="12"/>
        <color rgb="FF000000"/>
        <rFont val="Calibri"/>
        <family val="2"/>
        <charset val="204"/>
        <scheme val="minor"/>
      </rPr>
      <t>"Многоквартирный жилой дом с подземной автостоянкой, расположенный в квартале улиц Т. Кармацкого - Е. Войнова в г. Тюмени. 2 этап"</t>
    </r>
    <r>
      <rPr>
        <sz val="12"/>
        <color indexed="64"/>
        <rFont val="Calibri"/>
        <family val="2"/>
        <charset val="204"/>
        <scheme val="minor"/>
      </rPr>
      <t xml:space="preserve"> </t>
    </r>
  </si>
  <si>
    <t>Раздел 1. Изготовление и монтаж светопрозрачных конструкций</t>
  </si>
  <si>
    <t>1.5</t>
  </si>
  <si>
    <t>1.6</t>
  </si>
  <si>
    <t>1.7</t>
  </si>
  <si>
    <t>1.8</t>
  </si>
  <si>
    <t>1.9</t>
  </si>
  <si>
    <t>1.10</t>
  </si>
  <si>
    <t>1.11</t>
  </si>
  <si>
    <t>1.12</t>
  </si>
  <si>
    <t>Изготовление и монтаж окон из алюминиевого профиля</t>
  </si>
  <si>
    <r>
      <t xml:space="preserve">на выполнение комплекса работ по </t>
    </r>
    <r>
      <rPr>
        <u/>
        <sz val="12"/>
        <color rgb="FF000000"/>
        <rFont val="Calibri"/>
        <family val="2"/>
        <charset val="204"/>
        <scheme val="minor"/>
      </rPr>
      <t>изготовлению  и монтажу оконных проемов ГП-2.2 с пристроенными нежилыми помещениями</t>
    </r>
  </si>
  <si>
    <t>Наименование организации ИНН 7203292023</t>
  </si>
  <si>
    <t>Управляющий ___________________________ ИП Жалнин Д.В.</t>
  </si>
  <si>
    <t>Приложение №1</t>
  </si>
  <si>
    <t>к договору подряда № _________ от ________г.</t>
  </si>
  <si>
    <t>Заказчик:</t>
  </si>
  <si>
    <t>Подрядчик:</t>
  </si>
  <si>
    <t>Технический заказчик:</t>
  </si>
  <si>
    <t>ООО «Создание»</t>
  </si>
  <si>
    <t>ООО «Технический заказчик «ПАРИТЕТ»</t>
  </si>
  <si>
    <t xml:space="preserve">в лице ООО «Любимый город», действующего на основании Агентского Договора № А54/23-А от 28.07.2023 г, доверенности №23/23-ДК от 28.07.2023 года
</t>
  </si>
  <si>
    <t>Генеральный директор ООО "Любимый город"</t>
  </si>
  <si>
    <t>Директор</t>
  </si>
  <si>
    <t>Представитель по доверенности №2/24-ПД от 09.01.2024г.</t>
  </si>
  <si>
    <t>С.А. Бусыгин</t>
  </si>
  <si>
    <t>Д.С. Вишневская</t>
  </si>
  <si>
    <t>И.Г. Солдаткин</t>
  </si>
  <si>
    <t>"______" ____________________ 2024г.</t>
  </si>
  <si>
    <t>Ведомость договорной цены №1</t>
  </si>
  <si>
    <t>шт</t>
  </si>
  <si>
    <t>3</t>
  </si>
  <si>
    <t>4</t>
  </si>
  <si>
    <t>5</t>
  </si>
  <si>
    <t>СМР</t>
  </si>
  <si>
    <t>Цена, руб. НДС</t>
  </si>
  <si>
    <t>Цена, руб.  НДС</t>
  </si>
  <si>
    <t>Стоимость, руб. НДС</t>
  </si>
  <si>
    <t>Общая стоимость,
руб. НДС</t>
  </si>
  <si>
    <t>Наименование организации ИНН</t>
  </si>
  <si>
    <t xml:space="preserve">Обозначение на плане </t>
  </si>
  <si>
    <t>2.1</t>
  </si>
  <si>
    <t>2.2</t>
  </si>
  <si>
    <t>2.3</t>
  </si>
  <si>
    <t>2.4</t>
  </si>
  <si>
    <t>в т.ч. НДС 22%</t>
  </si>
  <si>
    <t>Квалификационная и контактная информация</t>
  </si>
  <si>
    <t>Наличие авансирования</t>
  </si>
  <si>
    <t>Готовность приступить к работе по уведомлению</t>
  </si>
  <si>
    <t>Срок исполнения предмета тендера</t>
  </si>
  <si>
    <t>Информация о посещении объекта (были/не были), вопросы по результатам посещения</t>
  </si>
  <si>
    <t>Готовность подписать договор в редакции Заказчика</t>
  </si>
  <si>
    <t>Наличие СРО</t>
  </si>
  <si>
    <t>Опыт работы</t>
  </si>
  <si>
    <t>Дата регистрации компании</t>
  </si>
  <si>
    <t>e-mail</t>
  </si>
  <si>
    <t>Генеральный директор : Ф.И.О. полностью, тел., e-mail</t>
  </si>
  <si>
    <t>Контактное лицо: Ф.И.О. полностью, тел., e-mail</t>
  </si>
  <si>
    <t>6</t>
  </si>
  <si>
    <t xml:space="preserve">Коммерческое предложение </t>
  </si>
  <si>
    <t>1.1.1</t>
  </si>
  <si>
    <t>1.1.2</t>
  </si>
  <si>
    <t>1.2.1</t>
  </si>
  <si>
    <t>2.1.1</t>
  </si>
  <si>
    <t>2.2.1</t>
  </si>
  <si>
    <t>2.3.1</t>
  </si>
  <si>
    <t>2.4.1</t>
  </si>
  <si>
    <t>1.2.2</t>
  </si>
  <si>
    <t>1.2.3</t>
  </si>
  <si>
    <t>1.2.4</t>
  </si>
  <si>
    <t>2.5</t>
  </si>
  <si>
    <t>2.5.1</t>
  </si>
  <si>
    <r>
      <t xml:space="preserve">на выполнение комплекса работ по </t>
    </r>
    <r>
      <rPr>
        <i/>
        <sz val="12"/>
        <rFont val="Times New Roman"/>
        <family val="1"/>
        <charset val="204"/>
      </rPr>
      <t>монтаж системы контроля и управления доступом (система домофонной связи)</t>
    </r>
  </si>
  <si>
    <t>Домофон</t>
  </si>
  <si>
    <t>Система контроля доступом</t>
  </si>
  <si>
    <t>0.1.4.4.5.10.4</t>
  </si>
  <si>
    <t>Считыватели</t>
  </si>
  <si>
    <t>Считыватель ProxWay PW-mini Multi BLE v.2 B</t>
  </si>
  <si>
    <t>0.1.4.4.5.10.8</t>
  </si>
  <si>
    <t xml:space="preserve">Кнопки </t>
  </si>
  <si>
    <t>Кнопка выхода Slinex DR-03</t>
  </si>
  <si>
    <t>Замки электромагнитные</t>
  </si>
  <si>
    <t>0.1.4.4.5.10.6</t>
  </si>
  <si>
    <t>Замок электромагнитный ML400M</t>
  </si>
  <si>
    <t>Контроллеры доступа</t>
  </si>
  <si>
    <t>0.1.4.4.5.10.3</t>
  </si>
  <si>
    <t>Сетевой контроллер СКУД в корпусе с источником питания и местом для АКБ PW-400 AC mod.23</t>
  </si>
  <si>
    <t>Оборудование управления</t>
  </si>
  <si>
    <t>0.1.4.4.5.10.1</t>
  </si>
  <si>
    <t>Модуль релейный адресный на 1 выход PM-1-R3</t>
  </si>
  <si>
    <t>0.1.4.4.5.10.2</t>
  </si>
  <si>
    <t>Оборудование питания</t>
  </si>
  <si>
    <t>Батарея аккумуляторная ёмкостью 7 Ач PTK-BATTERY</t>
  </si>
  <si>
    <t>0.1.4.4.5.10.9</t>
  </si>
  <si>
    <t xml:space="preserve">Кабель симметричный парной скрутки "витая пара" пониженной пожарной опасности с низкотоксичным дымо- и газовыделением сечением 4х2х0,5 U/UTP Cat5e нг(А)-HF(LSZH) </t>
  </si>
  <si>
    <t>м.п</t>
  </si>
  <si>
    <t xml:space="preserve">Труба гофрированная ПВХ легкая 350 Н серая с/з d20 мм </t>
  </si>
  <si>
    <t>Комплект оборудования на дверь (замок электромагнитный, доводчик, контроллер, кнопка выхода)</t>
  </si>
  <si>
    <t>компл</t>
  </si>
  <si>
    <t>материал порядчика</t>
  </si>
  <si>
    <t>0.1.4.4.5.10.13.2.1.2.1</t>
  </si>
  <si>
    <t>Панель вызывная многоабонентская DKS20211</t>
  </si>
  <si>
    <t>Шкаф телекоммуникационный в сборе</t>
  </si>
  <si>
    <t>0.1.4.4.5.10.13.2.1.1.3</t>
  </si>
  <si>
    <t>DIN-рейка 1,2 м</t>
  </si>
  <si>
    <t>0.1.4.4.5.10.13.2.1.4</t>
  </si>
  <si>
    <t>Кабель симметричный парной скрутки "витая пара" пониженной пожарной опасности с низкотоксичным дымо- и газовыделением сечением 4х2х0,5 U/UTP Cat5e ZH нг(А)-HF</t>
  </si>
  <si>
    <t>Кабель сигнальный для охранных систем и телекоммуникации пониженной пожарной опасности с низким дымо- и газовыделением диаметром: КСВВнг(А)-LS 20х0,5</t>
  </si>
  <si>
    <t>Кабель сигнальный для охранных систем и телекоммуникации пониженной пожарной опасности с низким дымо- и газовыделением диаметром КСВВнг(А)-LS 4х0,80</t>
  </si>
  <si>
    <t>Кабель сигнальный для охранных систем и телекоммуникации пониженной пожарной опасности с низким дымо- и газовыделением диаметром: КСВВнг(А)-LS 2х1,5</t>
  </si>
  <si>
    <t xml:space="preserve">Труба гофрированная ПВХ легкая 350 Н серая с/з d12 мм </t>
  </si>
  <si>
    <t>Щит с монтажной панелью 650х500х220 ЩМП-3-0 36 УХЛЗ IP31 в комлекте:</t>
  </si>
  <si>
    <t>компл.</t>
  </si>
  <si>
    <t>Коммутатор координатно-матричный KKM-100S2</t>
  </si>
  <si>
    <t>Коммутатор многоабонентских домофонов KD-02</t>
  </si>
  <si>
    <t>Неуправляемый коммутатор 4+2 10/100/1000 мбит/c+2 SFP порта STP-422</t>
  </si>
  <si>
    <t>Блок питания на DIN рейку EDR-120-12</t>
  </si>
  <si>
    <t>Розетка заземлением на DIN-рейку PAp10-3-ОП</t>
  </si>
  <si>
    <t>Автоматический выключатель 6 А, 1р, С ВА47-29</t>
  </si>
  <si>
    <t>Бесконтактный брелок ISBC</t>
  </si>
  <si>
    <t>Кронштейн врезной для установки вызывных панелей DKS HT-DKS-UM01</t>
  </si>
  <si>
    <t>Прокладка для герметичной установки домофонов серии DKS PN2R-DWS-01</t>
  </si>
  <si>
    <t>Диодная сборка с клеммниками DW2-01</t>
  </si>
  <si>
    <t>Коробка распределительная 20ти-клеммная КРТП 10х2</t>
  </si>
  <si>
    <t xml:space="preserve">Вызывная панель </t>
  </si>
  <si>
    <t>1'ШКФ0.1                        2'ШКФ0.1</t>
  </si>
  <si>
    <t>1'ШКД0.1                        1'ШКД1.1                  1'ШКД1.2                            1'ШКД1.3</t>
  </si>
  <si>
    <t>1.3.1</t>
  </si>
  <si>
    <t>1.4.1</t>
  </si>
  <si>
    <t>1.4.2</t>
  </si>
  <si>
    <t>1.4.3</t>
  </si>
  <si>
    <t>1.4.4</t>
  </si>
  <si>
    <t>1.4.5</t>
  </si>
  <si>
    <t>1.4.6</t>
  </si>
  <si>
    <t>1.4.7</t>
  </si>
  <si>
    <t>1.4.8</t>
  </si>
  <si>
    <t>1.5.1</t>
  </si>
  <si>
    <t>1.5.2</t>
  </si>
  <si>
    <t>1.5.3</t>
  </si>
  <si>
    <t>1.5.4</t>
  </si>
  <si>
    <t>1.5.5</t>
  </si>
  <si>
    <t>1.6.1</t>
  </si>
  <si>
    <t>2.6</t>
  </si>
  <si>
    <t>2.6.1</t>
  </si>
  <si>
    <t>2.7</t>
  </si>
  <si>
    <t>2.7.1</t>
  </si>
  <si>
    <t>2.7.3</t>
  </si>
  <si>
    <t>2.7.2</t>
  </si>
  <si>
    <t xml:space="preserve">Допускается замена оборудования и материалов, указанных в данной спецификации, на аналогичные по характеристикам и выполняемым функциям, имеющих необходимые сертификаты. 
Замену отразить в поле примечание ниже. </t>
  </si>
  <si>
    <t>2'ШКД1.1</t>
  </si>
  <si>
    <t xml:space="preserve">1'ШКД1.1                        1'ШКД1.2         </t>
  </si>
  <si>
    <t>Удлинитель сигнала TSn-EPOE-U</t>
  </si>
  <si>
    <t>2'ШКД0.1                        2'ШКД1.1                  2'ШКД1.2                            2'ШКД1.3</t>
  </si>
  <si>
    <t>1'ШДФ0.1                        2'ШДФ0.1</t>
  </si>
  <si>
    <t xml:space="preserve">1'ШКД0.1                        1'ШКД1.1                 </t>
  </si>
  <si>
    <t xml:space="preserve">2'ШКД0.1                        2'ШКД1.1                  2'ШКД1.2                    </t>
  </si>
  <si>
    <t xml:space="preserve">3'ШКД0.1                        3'ШКД1.1               </t>
  </si>
  <si>
    <t xml:space="preserve">3'ШДФ0.1                       </t>
  </si>
  <si>
    <t>0.1.4.4.5.5.1.2</t>
  </si>
  <si>
    <t>Проволочный лоток 50х100 L2000 комплекте с углами, поворотами, тройниками,монтажными материалами и крепежными изделиями</t>
  </si>
  <si>
    <t>Лоток металлический проволочный комплекте с углами, поворотами, тройниками,монтажными материалами и крепежными изделиями</t>
  </si>
  <si>
    <t>Система кабельных каналов/лотков.</t>
  </si>
  <si>
    <t>3.1</t>
  </si>
  <si>
    <t>3.1.1</t>
  </si>
  <si>
    <t>Шпилька резьбовая М8х1000</t>
  </si>
  <si>
    <t>Анкерный болт с гайкой М8/10х75</t>
  </si>
  <si>
    <t>Держатель потолочный DR в комплекте с крепжеными элементами</t>
  </si>
  <si>
    <t>Площадка фиксаторная CR в комплекте с крепжеными элементами</t>
  </si>
  <si>
    <t>3.2.1</t>
  </si>
  <si>
    <t>3.2.3</t>
  </si>
  <si>
    <t>3.2.4</t>
  </si>
  <si>
    <t>3.2.5</t>
  </si>
  <si>
    <t>Расходные и вспомогательные материалы, а также крепеж включены в стоиомсть работ. Устройство узлов прохода инженерных коммуникаций через стены, перекрытия, покрытия, стены из бетонного камня, в том числе штробление, устройство гнезд и сверление отверстий диаметром менее 150 мм (включительно) с последующей их заделкой в соответствии с нормами и соблюдением предела огнестойкости конструкций включены в стоимость работ.</t>
  </si>
  <si>
    <t>Прокладка кабеля в лотке</t>
  </si>
  <si>
    <t>1.6.2</t>
  </si>
  <si>
    <t>1.6.3</t>
  </si>
  <si>
    <t>0.1.4.4.5.9.9</t>
  </si>
  <si>
    <t>Прокладка кабеля открыто</t>
  </si>
  <si>
    <t>1.6.4</t>
  </si>
  <si>
    <t>1.7.1</t>
  </si>
  <si>
    <t>1.7.2</t>
  </si>
  <si>
    <t>1.7.3</t>
  </si>
  <si>
    <t>Вспомогательные и расходные материалы, крепеж включены в стоимость работ</t>
  </si>
  <si>
    <t>1.8.1</t>
  </si>
  <si>
    <t>Прокладка кабеля в гофротрубе</t>
  </si>
  <si>
    <t>2.8</t>
  </si>
  <si>
    <t>2.8.1</t>
  </si>
  <si>
    <t>2.9</t>
  </si>
  <si>
    <t xml:space="preserve">Прокладка кабеля в лотке </t>
  </si>
  <si>
    <t>2.8.2</t>
  </si>
  <si>
    <t>2.8.3</t>
  </si>
  <si>
    <t>2.9.1</t>
  </si>
  <si>
    <t>2.8.4</t>
  </si>
  <si>
    <t>Щит с монтажной панелью 650х500х220 ЩМП-3-0 36 УХЛЗ IP31 в комлекте</t>
  </si>
  <si>
    <t>Секция 2А</t>
  </si>
  <si>
    <t>Секция 2Б</t>
  </si>
  <si>
    <t>Настройка бесконтактного брелока </t>
  </si>
  <si>
    <t>Секция 2А,2Б</t>
  </si>
  <si>
    <t>Пусконаладочные работы системы контроля и управления доступом (система домофонной связи)</t>
  </si>
  <si>
    <t>на объекте: «Многоквартирные жилые дома с объектами инфраструктуры, расположенные по адресу: г.Тюмень, ул. Московский тракт, Квартал №1» Секция 2А,2Б</t>
  </si>
  <si>
    <t>0.1.4.4.5.10</t>
  </si>
  <si>
    <t>4.1</t>
  </si>
  <si>
    <t>4.1.1</t>
  </si>
  <si>
    <t>4.1.2</t>
  </si>
  <si>
    <t>4.2</t>
  </si>
  <si>
    <t>4.2.1</t>
  </si>
  <si>
    <t>4.2.2</t>
  </si>
  <si>
    <t>4.2.3</t>
  </si>
  <si>
    <t>4.2.4</t>
  </si>
  <si>
    <t>4.3</t>
  </si>
  <si>
    <t>4.3.1</t>
  </si>
  <si>
    <t>4.4</t>
  </si>
  <si>
    <t>4.4.1</t>
  </si>
  <si>
    <t>4.4.2</t>
  </si>
  <si>
    <t>4.4.3</t>
  </si>
  <si>
    <t>4.5</t>
  </si>
  <si>
    <t>4.5.1</t>
  </si>
  <si>
    <t>4.5.2</t>
  </si>
  <si>
    <t>4.5.3</t>
  </si>
  <si>
    <t>4.4.4</t>
  </si>
  <si>
    <t>4.6</t>
  </si>
  <si>
    <t>4.6.1</t>
  </si>
  <si>
    <t>4.6.2</t>
  </si>
  <si>
    <t>4.6.3</t>
  </si>
  <si>
    <t>4.7</t>
  </si>
  <si>
    <t>4.7.1</t>
  </si>
  <si>
    <t>5.1</t>
  </si>
  <si>
    <t>5.1.1</t>
  </si>
  <si>
    <t>5.2</t>
  </si>
  <si>
    <t>5.2.1</t>
  </si>
  <si>
    <t>5.3</t>
  </si>
  <si>
    <t>5.3.1</t>
  </si>
  <si>
    <t>5.4</t>
  </si>
  <si>
    <t>5.4.1</t>
  </si>
  <si>
    <t>5.5</t>
  </si>
  <si>
    <t>5.5.1</t>
  </si>
  <si>
    <t>5.6</t>
  </si>
  <si>
    <t>5.6.1</t>
  </si>
  <si>
    <t>5.7</t>
  </si>
  <si>
    <t>5.7.1</t>
  </si>
  <si>
    <t>5.8</t>
  </si>
  <si>
    <t>5.8.1</t>
  </si>
  <si>
    <t>5.8.2</t>
  </si>
  <si>
    <t>5.8.3</t>
  </si>
  <si>
    <t>5.9</t>
  </si>
  <si>
    <t>5.9.1</t>
  </si>
  <si>
    <t>6.1</t>
  </si>
  <si>
    <t>6.1.1</t>
  </si>
  <si>
    <t>6.1.2</t>
  </si>
  <si>
    <t>6.1.3</t>
  </si>
  <si>
    <t>7.1</t>
  </si>
  <si>
    <t>на объекте: «Многоквартирные жилые дома с объектами инфраструктуры, расположенные по адресу: г.Тюмень, ул. Московский тракт, Квартал №1» Секция 1А,1Б</t>
  </si>
  <si>
    <t>Секция 1А</t>
  </si>
  <si>
    <t>Секция 1Б</t>
  </si>
  <si>
    <t>Секция 1А,1Б</t>
  </si>
  <si>
    <t>4.4.5</t>
  </si>
  <si>
    <t>4.4.6</t>
  </si>
  <si>
    <t>4.4.7</t>
  </si>
  <si>
    <t>4.4.8</t>
  </si>
  <si>
    <t>4.6.4</t>
  </si>
  <si>
    <t>4.7.2</t>
  </si>
  <si>
    <t>4.7.3</t>
  </si>
  <si>
    <t>4.8</t>
  </si>
  <si>
    <t>4.8.1</t>
  </si>
  <si>
    <t>5.8.4</t>
  </si>
  <si>
    <t>на объекте: «Многоквартирные жилые дома с объектами инфраструктуры, расположенные по адресу: г.Тюмень, ул. Московский тракт, Квартал №1» Секция 3А,3Б,3В</t>
  </si>
  <si>
    <t>Секция 3А</t>
  </si>
  <si>
    <t>Секция 3Б</t>
  </si>
  <si>
    <t>Секция 3В</t>
  </si>
  <si>
    <t>Секция 3А,3Б,3В</t>
  </si>
  <si>
    <t>4.5.4</t>
  </si>
  <si>
    <t>6.1.4</t>
  </si>
  <si>
    <t>6.1.5</t>
  </si>
  <si>
    <t>7.1.1</t>
  </si>
  <si>
    <t>7.1.2</t>
  </si>
  <si>
    <t>7.2</t>
  </si>
  <si>
    <t>7.2.1</t>
  </si>
  <si>
    <t>7.2.2</t>
  </si>
  <si>
    <t>7.2.3</t>
  </si>
  <si>
    <t>7.2.4</t>
  </si>
  <si>
    <t>7.3</t>
  </si>
  <si>
    <t>7.3.1</t>
  </si>
  <si>
    <t>7.4</t>
  </si>
  <si>
    <t>7.4.1</t>
  </si>
  <si>
    <t>7.4.2</t>
  </si>
  <si>
    <t>7.4.3</t>
  </si>
  <si>
    <t>7.4.4</t>
  </si>
  <si>
    <t>7.4.5</t>
  </si>
  <si>
    <t>7.4.6</t>
  </si>
  <si>
    <t>7.4.7</t>
  </si>
  <si>
    <t>7.4.8</t>
  </si>
  <si>
    <t>7.5</t>
  </si>
  <si>
    <t>7.5.1</t>
  </si>
  <si>
    <t>7.5.2</t>
  </si>
  <si>
    <t>7.5.3</t>
  </si>
  <si>
    <t>7.6</t>
  </si>
  <si>
    <t>7.6.1</t>
  </si>
  <si>
    <t>7.6.2</t>
  </si>
  <si>
    <t>7.6.3</t>
  </si>
  <si>
    <t>7.6.4</t>
  </si>
  <si>
    <t>7.7</t>
  </si>
  <si>
    <t>7.7.1</t>
  </si>
  <si>
    <t>7.7.2</t>
  </si>
  <si>
    <t>7.7.3</t>
  </si>
  <si>
    <t>7.8</t>
  </si>
  <si>
    <t>7.8.1</t>
  </si>
  <si>
    <t>8.1</t>
  </si>
  <si>
    <t>8.1.1</t>
  </si>
  <si>
    <t>8.2</t>
  </si>
  <si>
    <t>8.2.1</t>
  </si>
  <si>
    <t>8.3</t>
  </si>
  <si>
    <t>8.3.1</t>
  </si>
  <si>
    <t>8.4</t>
  </si>
  <si>
    <t>8.4.1</t>
  </si>
  <si>
    <t>8.5</t>
  </si>
  <si>
    <t>8.5.1</t>
  </si>
  <si>
    <t>8.6</t>
  </si>
  <si>
    <t>8.6.1</t>
  </si>
  <si>
    <t>8.7</t>
  </si>
  <si>
    <t>8.7.1</t>
  </si>
  <si>
    <t>8.8</t>
  </si>
  <si>
    <t>8.8.1</t>
  </si>
  <si>
    <t>8.8.2</t>
  </si>
  <si>
    <t>8.8.3</t>
  </si>
  <si>
    <t>8.9</t>
  </si>
  <si>
    <t>8.9.1</t>
  </si>
  <si>
    <t>9.1</t>
  </si>
  <si>
    <t>9.1.1</t>
  </si>
  <si>
    <t>9.1.2</t>
  </si>
  <si>
    <t>9.1.3</t>
  </si>
  <si>
    <t>9.1.4</t>
  </si>
  <si>
    <t>9.1.5</t>
  </si>
  <si>
    <t>10.1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</si>
</sst>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#,##0.00_ ;\-#,##0.00\ "/>
  </numFmts>
  <fonts count="5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  <scheme val="minor"/>
    </font>
    <font>
      <sz val="11"/>
      <color indexed="2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64"/>
      <name val="Calibri"/>
      <family val="2"/>
      <charset val="204"/>
      <scheme val="minor"/>
    </font>
    <font>
      <sz val="11"/>
      <color indexed="65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indexed="64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2"/>
      <color indexed="64"/>
      <name val="Calibri"/>
      <family val="2"/>
      <charset val="204"/>
      <scheme val="minor"/>
    </font>
    <font>
      <sz val="12"/>
      <color indexed="64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2"/>
      <color rgb="FF00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2"/>
      <color indexed="2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1"/>
      <name val="Arial Cyr"/>
      <charset val="204"/>
    </font>
    <font>
      <u/>
      <sz val="12"/>
      <color rgb="FF000000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name val="Arial"/>
      <family val="2"/>
      <charset val="204"/>
    </font>
    <font>
      <b/>
      <sz val="11"/>
      <color indexed="64"/>
      <name val="Arial"/>
      <family val="2"/>
      <charset val="204"/>
    </font>
    <font>
      <b/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1"/>
      <color rgb="FFFF0000"/>
      <name val="Arial"/>
      <family val="2"/>
      <charset val="204"/>
    </font>
    <font>
      <sz val="10"/>
      <color rgb="FFFF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0"/>
      <name val="Times New Roman"/>
      <family val="1"/>
      <charset val="204"/>
    </font>
    <font>
      <b/>
      <sz val="11"/>
      <color theme="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151515"/>
      <name val="Times New Roman"/>
      <family val="1"/>
      <charset val="204"/>
    </font>
    <font>
      <sz val="10"/>
      <color indexed="2"/>
      <name val="Times New Roman"/>
      <family val="1"/>
      <charset val="204"/>
    </font>
    <font>
      <b/>
      <sz val="10"/>
      <color indexed="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64"/>
      <name val="Times New Roman"/>
      <family val="1"/>
      <charset val="204"/>
    </font>
    <font>
      <i/>
      <sz val="11"/>
      <color theme="0"/>
      <name val="Times New Roman"/>
      <family val="1"/>
      <charset val="204"/>
    </font>
    <font>
      <b/>
      <i/>
      <sz val="11"/>
      <color theme="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u/>
      <sz val="11"/>
      <color theme="10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rgb="FFD5EAFF"/>
        <bgColor rgb="FFD5EA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7E2EF"/>
        <bgColor rgb="FFD4D3D4"/>
      </patternFill>
    </fill>
    <fill>
      <patternFill patternType="solid">
        <fgColor rgb="FF006666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7E2E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4D3D4"/>
        <bgColor rgb="FFD7E2EF"/>
      </patternFill>
    </fill>
  </fills>
  <borders count="6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0" fontId="4" fillId="0" borderId="0"/>
    <xf numFmtId="43" fontId="4" fillId="0" borderId="0" applyFont="0" applyFill="0" applyBorder="0" applyProtection="0"/>
    <xf numFmtId="43" fontId="7" fillId="0" borderId="0" applyFont="0" applyFill="0" applyBorder="0" applyAlignment="0" applyProtection="0"/>
    <xf numFmtId="0" fontId="4" fillId="0" borderId="0"/>
    <xf numFmtId="0" fontId="17" fillId="0" borderId="0"/>
    <xf numFmtId="0" fontId="17" fillId="0" borderId="0"/>
    <xf numFmtId="0" fontId="2" fillId="0" borderId="0"/>
    <xf numFmtId="0" fontId="2" fillId="0" borderId="0"/>
    <xf numFmtId="0" fontId="52" fillId="0" borderId="0" applyNumberFormat="0" applyFill="0" applyBorder="0" applyAlignment="0" applyProtection="0"/>
    <xf numFmtId="0" fontId="53" fillId="0" borderId="0"/>
    <xf numFmtId="0" fontId="1" fillId="0" borderId="0"/>
  </cellStyleXfs>
  <cellXfs count="342">
    <xf numFmtId="0" fontId="0" fillId="0" borderId="0" xfId="0"/>
    <xf numFmtId="165" fontId="8" fillId="0" borderId="3" xfId="2" applyNumberFormat="1" applyFont="1" applyBorder="1" applyAlignment="1" applyProtection="1">
      <alignment horizontal="right" vertical="center" wrapText="1"/>
      <protection locked="0"/>
    </xf>
    <xf numFmtId="165" fontId="5" fillId="0" borderId="5" xfId="2" applyNumberFormat="1" applyFont="1" applyBorder="1" applyAlignment="1" applyProtection="1">
      <alignment horizontal="center" vertical="center" wrapText="1"/>
      <protection locked="0"/>
    </xf>
    <xf numFmtId="165" fontId="12" fillId="5" borderId="5" xfId="2" applyNumberFormat="1" applyFont="1" applyFill="1" applyBorder="1" applyAlignment="1" applyProtection="1">
      <alignment horizontal="center" vertical="center" wrapText="1"/>
      <protection locked="0"/>
    </xf>
    <xf numFmtId="165" fontId="11" fillId="5" borderId="3" xfId="2" applyNumberFormat="1" applyFont="1" applyFill="1" applyBorder="1" applyAlignment="1" applyProtection="1">
      <alignment horizontal="right" vertical="center" wrapText="1"/>
      <protection locked="0"/>
    </xf>
    <xf numFmtId="165" fontId="11" fillId="3" borderId="7" xfId="2" applyNumberFormat="1" applyFont="1" applyFill="1" applyBorder="1" applyAlignment="1" applyProtection="1">
      <alignment horizontal="right" vertical="center" wrapText="1"/>
      <protection locked="0"/>
    </xf>
    <xf numFmtId="165" fontId="5" fillId="3" borderId="7" xfId="2" applyNumberFormat="1" applyFont="1" applyFill="1" applyBorder="1" applyAlignment="1" applyProtection="1">
      <alignment horizontal="center" vertical="center" wrapText="1"/>
      <protection locked="0"/>
    </xf>
    <xf numFmtId="165" fontId="11" fillId="3" borderId="7" xfId="2" applyNumberFormat="1" applyFont="1" applyFill="1" applyBorder="1" applyAlignment="1" applyProtection="1">
      <alignment horizontal="center" vertical="center" wrapText="1"/>
      <protection locked="0"/>
    </xf>
    <xf numFmtId="4" fontId="11" fillId="5" borderId="1" xfId="2" applyNumberFormat="1" applyFont="1" applyFill="1" applyBorder="1" applyAlignment="1" applyProtection="1">
      <alignment horizontal="center" vertical="center" wrapText="1"/>
    </xf>
    <xf numFmtId="0" fontId="9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8" fillId="0" borderId="0" xfId="1" applyFont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4" fontId="8" fillId="0" borderId="0" xfId="2" applyNumberFormat="1" applyFont="1" applyAlignment="1" applyProtection="1">
      <alignment horizontal="right" vertical="center"/>
      <protection locked="0"/>
    </xf>
    <xf numFmtId="43" fontId="6" fillId="0" borderId="0" xfId="2" applyFont="1" applyAlignment="1" applyProtection="1">
      <alignment horizontal="right" vertical="center"/>
      <protection locked="0"/>
    </xf>
    <xf numFmtId="43" fontId="8" fillId="0" borderId="0" xfId="2" applyFont="1" applyAlignment="1" applyProtection="1">
      <alignment horizontal="right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19" fillId="0" borderId="0" xfId="0" applyFont="1" applyProtection="1">
      <protection locked="0"/>
    </xf>
    <xf numFmtId="4" fontId="15" fillId="0" borderId="0" xfId="2" applyNumberFormat="1" applyFont="1" applyAlignment="1" applyProtection="1">
      <alignment horizontal="center" vertical="center"/>
      <protection locked="0"/>
    </xf>
    <xf numFmtId="43" fontId="21" fillId="0" borderId="0" xfId="2" applyFont="1" applyAlignment="1" applyProtection="1">
      <alignment vertical="center"/>
      <protection locked="0"/>
    </xf>
    <xf numFmtId="43" fontId="15" fillId="0" borderId="0" xfId="2" applyFont="1" applyAlignment="1" applyProtection="1">
      <alignment vertical="center"/>
      <protection locked="0"/>
    </xf>
    <xf numFmtId="43" fontId="15" fillId="0" borderId="0" xfId="2" applyFont="1" applyAlignment="1" applyProtection="1">
      <alignment horizontal="right" vertical="center"/>
      <protection locked="0"/>
    </xf>
    <xf numFmtId="43" fontId="20" fillId="0" borderId="0" xfId="3" applyFont="1" applyFill="1" applyAlignment="1" applyProtection="1">
      <alignment horizontal="right" vertical="center"/>
      <protection locked="0"/>
    </xf>
    <xf numFmtId="0" fontId="15" fillId="0" borderId="0" xfId="1" applyFont="1" applyAlignment="1" applyProtection="1">
      <alignment horizontal="center" vertical="center"/>
      <protection locked="0"/>
    </xf>
    <xf numFmtId="0" fontId="15" fillId="0" borderId="0" xfId="1" applyFont="1" applyAlignment="1" applyProtection="1">
      <alignment vertical="center"/>
      <protection locked="0"/>
    </xf>
    <xf numFmtId="0" fontId="15" fillId="0" borderId="0" xfId="1" applyFont="1" applyAlignment="1" applyProtection="1">
      <alignment vertical="center" wrapText="1"/>
      <protection locked="0"/>
    </xf>
    <xf numFmtId="0" fontId="8" fillId="0" borderId="0" xfId="1" applyFont="1" applyAlignment="1" applyProtection="1">
      <alignment horizontal="center" vertical="center"/>
      <protection locked="0"/>
    </xf>
    <xf numFmtId="0" fontId="8" fillId="0" borderId="0" xfId="1" applyFont="1" applyAlignment="1" applyProtection="1">
      <alignment vertical="center"/>
      <protection locked="0"/>
    </xf>
    <xf numFmtId="0" fontId="8" fillId="0" borderId="0" xfId="1" applyFont="1" applyAlignment="1" applyProtection="1">
      <alignment vertical="center" wrapText="1"/>
      <protection locked="0"/>
    </xf>
    <xf numFmtId="4" fontId="8" fillId="0" borderId="0" xfId="2" applyNumberFormat="1" applyFont="1" applyAlignment="1" applyProtection="1">
      <alignment horizontal="center" vertical="center"/>
      <protection locked="0"/>
    </xf>
    <xf numFmtId="43" fontId="6" fillId="0" borderId="0" xfId="2" applyFont="1" applyAlignment="1" applyProtection="1">
      <alignment vertical="center"/>
      <protection locked="0"/>
    </xf>
    <xf numFmtId="43" fontId="8" fillId="0" borderId="0" xfId="2" applyFont="1" applyAlignment="1" applyProtection="1">
      <alignment vertical="center"/>
      <protection locked="0"/>
    </xf>
    <xf numFmtId="43" fontId="8" fillId="0" borderId="0" xfId="2" applyFont="1" applyFill="1" applyAlignment="1" applyProtection="1">
      <alignment vertical="center"/>
      <protection locked="0"/>
    </xf>
    <xf numFmtId="0" fontId="23" fillId="0" borderId="0" xfId="0" applyFont="1" applyProtection="1">
      <protection locked="0"/>
    </xf>
    <xf numFmtId="0" fontId="11" fillId="0" borderId="11" xfId="1" applyFont="1" applyBorder="1" applyAlignment="1" applyProtection="1">
      <alignment horizontal="center" vertical="center" wrapText="1"/>
      <protection locked="0"/>
    </xf>
    <xf numFmtId="0" fontId="11" fillId="0" borderId="4" xfId="1" applyFont="1" applyBorder="1" applyAlignment="1" applyProtection="1">
      <alignment horizontal="center" vertical="center" wrapText="1"/>
      <protection locked="0"/>
    </xf>
    <xf numFmtId="3" fontId="11" fillId="0" borderId="4" xfId="2" applyNumberFormat="1" applyFont="1" applyBorder="1" applyAlignment="1" applyProtection="1">
      <alignment horizontal="center" vertical="center" wrapText="1"/>
      <protection locked="0"/>
    </xf>
    <xf numFmtId="3" fontId="11" fillId="0" borderId="12" xfId="2" applyNumberFormat="1" applyFont="1" applyBorder="1" applyAlignment="1" applyProtection="1">
      <alignment horizontal="center" vertical="center" wrapText="1"/>
      <protection locked="0"/>
    </xf>
    <xf numFmtId="4" fontId="13" fillId="5" borderId="1" xfId="2" applyNumberFormat="1" applyFont="1" applyFill="1" applyBorder="1" applyAlignment="1" applyProtection="1">
      <alignment horizontal="right" vertical="center"/>
      <protection locked="0"/>
    </xf>
    <xf numFmtId="4" fontId="10" fillId="0" borderId="1" xfId="2" applyNumberFormat="1" applyFont="1" applyBorder="1" applyAlignment="1" applyProtection="1">
      <alignment horizontal="right" vertical="center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2" fillId="2" borderId="7" xfId="1" applyFont="1" applyFill="1" applyBorder="1" applyAlignment="1" applyProtection="1">
      <alignment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12" fillId="2" borderId="1" xfId="1" applyFont="1" applyFill="1" applyBorder="1" applyAlignment="1" applyProtection="1">
      <alignment vertical="center" wrapText="1"/>
      <protection locked="0"/>
    </xf>
    <xf numFmtId="4" fontId="12" fillId="2" borderId="1" xfId="1" applyNumberFormat="1" applyFont="1" applyFill="1" applyBorder="1" applyAlignment="1" applyProtection="1">
      <alignment vertical="center" wrapText="1"/>
      <protection locked="0"/>
    </xf>
    <xf numFmtId="0" fontId="12" fillId="2" borderId="1" xfId="1" applyFont="1" applyFill="1" applyBorder="1" applyAlignment="1" applyProtection="1">
      <alignment horizontal="right" vertical="center" wrapText="1"/>
      <protection locked="0"/>
    </xf>
    <xf numFmtId="0" fontId="25" fillId="4" borderId="0" xfId="0" applyFont="1" applyFill="1" applyProtection="1">
      <protection locked="0"/>
    </xf>
    <xf numFmtId="0" fontId="8" fillId="3" borderId="6" xfId="1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left" vertical="center" wrapText="1"/>
    </xf>
    <xf numFmtId="0" fontId="11" fillId="3" borderId="7" xfId="1" applyFont="1" applyFill="1" applyBorder="1" applyAlignment="1">
      <alignment horizontal="center" vertical="center" wrapText="1"/>
    </xf>
    <xf numFmtId="4" fontId="11" fillId="3" borderId="7" xfId="2" applyNumberFormat="1" applyFont="1" applyFill="1" applyBorder="1" applyAlignment="1" applyProtection="1">
      <alignment horizontal="center" vertical="center" wrapText="1"/>
    </xf>
    <xf numFmtId="49" fontId="13" fillId="5" borderId="2" xfId="5" applyNumberFormat="1" applyFont="1" applyFill="1" applyBorder="1" applyAlignment="1">
      <alignment horizontal="center" vertical="center"/>
    </xf>
    <xf numFmtId="0" fontId="11" fillId="5" borderId="1" xfId="1" applyFont="1" applyFill="1" applyBorder="1" applyAlignment="1">
      <alignment horizontal="center" vertical="center"/>
    </xf>
    <xf numFmtId="0" fontId="12" fillId="5" borderId="1" xfId="5" applyFont="1" applyFill="1" applyBorder="1" applyAlignment="1">
      <alignment vertical="center" wrapText="1"/>
    </xf>
    <xf numFmtId="0" fontId="13" fillId="5" borderId="1" xfId="5" applyFont="1" applyFill="1" applyBorder="1" applyAlignment="1">
      <alignment horizontal="center" vertical="center" wrapText="1"/>
    </xf>
    <xf numFmtId="3" fontId="13" fillId="5" borderId="1" xfId="5" applyNumberFormat="1" applyFont="1" applyFill="1" applyBorder="1" applyAlignment="1">
      <alignment horizontal="center" vertical="center"/>
    </xf>
    <xf numFmtId="0" fontId="11" fillId="5" borderId="1" xfId="1" applyFont="1" applyFill="1" applyBorder="1" applyAlignment="1">
      <alignment horizontal="center" vertical="center" wrapText="1"/>
    </xf>
    <xf numFmtId="49" fontId="10" fillId="0" borderId="2" xfId="5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5" fillId="4" borderId="1" xfId="5" applyFont="1" applyFill="1" applyBorder="1" applyAlignment="1">
      <alignment vertical="center" wrapText="1"/>
    </xf>
    <xf numFmtId="0" fontId="5" fillId="0" borderId="1" xfId="5" applyFont="1" applyBorder="1" applyAlignment="1">
      <alignment horizontal="center" vertical="center" wrapText="1"/>
    </xf>
    <xf numFmtId="3" fontId="5" fillId="4" borderId="1" xfId="5" applyNumberFormat="1" applyFont="1" applyFill="1" applyBorder="1" applyAlignment="1">
      <alignment horizontal="center" vertical="center"/>
    </xf>
    <xf numFmtId="0" fontId="12" fillId="0" borderId="1" xfId="1" applyFont="1" applyBorder="1" applyAlignment="1">
      <alignment horizontal="center" vertical="center" wrapText="1"/>
    </xf>
    <xf numFmtId="165" fontId="11" fillId="3" borderId="8" xfId="2" applyNumberFormat="1" applyFont="1" applyFill="1" applyBorder="1" applyAlignment="1" applyProtection="1">
      <alignment horizontal="right" vertical="center" wrapText="1"/>
    </xf>
    <xf numFmtId="165" fontId="11" fillId="5" borderId="2" xfId="2" applyNumberFormat="1" applyFont="1" applyFill="1" applyBorder="1" applyAlignment="1" applyProtection="1">
      <alignment horizontal="right" vertical="center" wrapText="1"/>
    </xf>
    <xf numFmtId="165" fontId="11" fillId="5" borderId="1" xfId="2" applyNumberFormat="1" applyFont="1" applyFill="1" applyBorder="1" applyAlignment="1" applyProtection="1">
      <alignment horizontal="right" vertical="center" wrapText="1"/>
    </xf>
    <xf numFmtId="165" fontId="11" fillId="5" borderId="3" xfId="2" applyNumberFormat="1" applyFont="1" applyFill="1" applyBorder="1" applyAlignment="1" applyProtection="1">
      <alignment horizontal="right" vertical="center" wrapText="1"/>
    </xf>
    <xf numFmtId="165" fontId="8" fillId="0" borderId="2" xfId="2" applyNumberFormat="1" applyFont="1" applyBorder="1" applyAlignment="1" applyProtection="1">
      <alignment horizontal="right" vertical="center" wrapText="1"/>
    </xf>
    <xf numFmtId="165" fontId="8" fillId="0" borderId="1" xfId="2" applyNumberFormat="1" applyFont="1" applyBorder="1" applyAlignment="1" applyProtection="1">
      <alignment horizontal="right" vertical="center" wrapText="1"/>
    </xf>
    <xf numFmtId="165" fontId="8" fillId="0" borderId="3" xfId="2" applyNumberFormat="1" applyFont="1" applyBorder="1" applyAlignment="1" applyProtection="1">
      <alignment horizontal="right" vertical="center" wrapText="1"/>
    </xf>
    <xf numFmtId="4" fontId="12" fillId="2" borderId="9" xfId="2" applyNumberFormat="1" applyFont="1" applyFill="1" applyBorder="1" applyAlignment="1" applyProtection="1">
      <alignment horizontal="right" vertical="center"/>
    </xf>
    <xf numFmtId="4" fontId="12" fillId="2" borderId="10" xfId="2" applyNumberFormat="1" applyFont="1" applyFill="1" applyBorder="1" applyAlignment="1" applyProtection="1">
      <alignment horizontal="right" vertical="center"/>
    </xf>
    <xf numFmtId="4" fontId="12" fillId="2" borderId="1" xfId="1" applyNumberFormat="1" applyFont="1" applyFill="1" applyBorder="1" applyAlignment="1">
      <alignment horizontal="right" vertical="center" wrapText="1"/>
    </xf>
    <xf numFmtId="4" fontId="12" fillId="2" borderId="1" xfId="2" applyNumberFormat="1" applyFont="1" applyFill="1" applyBorder="1" applyAlignment="1" applyProtection="1">
      <alignment horizontal="right" vertical="center"/>
    </xf>
    <xf numFmtId="0" fontId="12" fillId="0" borderId="1" xfId="2" applyNumberFormat="1" applyFont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 vertical="center" wrapText="1"/>
      <protection locked="0"/>
    </xf>
    <xf numFmtId="0" fontId="23" fillId="0" borderId="29" xfId="0" applyFont="1" applyBorder="1" applyAlignment="1" applyProtection="1">
      <alignment horizontal="center" vertical="center" wrapText="1"/>
      <protection locked="0"/>
    </xf>
    <xf numFmtId="43" fontId="27" fillId="0" borderId="0" xfId="3" applyFont="1" applyAlignment="1">
      <alignment horizontal="right" vertical="center"/>
    </xf>
    <xf numFmtId="43" fontId="28" fillId="0" borderId="0" xfId="3" applyFont="1" applyFill="1" applyAlignment="1">
      <alignment horizontal="right" vertical="center"/>
    </xf>
    <xf numFmtId="4" fontId="28" fillId="0" borderId="0" xfId="1" applyNumberFormat="1" applyFont="1" applyAlignment="1">
      <alignment vertical="center"/>
    </xf>
    <xf numFmtId="0" fontId="30" fillId="0" borderId="0" xfId="4" applyFont="1" applyAlignment="1">
      <alignment vertical="top" wrapText="1"/>
    </xf>
    <xf numFmtId="0" fontId="31" fillId="0" borderId="0" xfId="4" applyFont="1" applyAlignment="1">
      <alignment vertical="top" wrapText="1"/>
    </xf>
    <xf numFmtId="0" fontId="32" fillId="0" borderId="0" xfId="4" applyFont="1" applyAlignment="1">
      <alignment vertical="top" wrapText="1"/>
    </xf>
    <xf numFmtId="0" fontId="31" fillId="0" borderId="0" xfId="4" applyFont="1" applyAlignment="1">
      <alignment vertical="top"/>
    </xf>
    <xf numFmtId="0" fontId="31" fillId="0" borderId="0" xfId="4" applyFont="1" applyAlignment="1">
      <alignment horizontal="left" vertical="top" wrapText="1"/>
    </xf>
    <xf numFmtId="0" fontId="32" fillId="4" borderId="0" xfId="4" applyFont="1" applyFill="1" applyAlignment="1">
      <alignment vertical="top"/>
    </xf>
    <xf numFmtId="4" fontId="32" fillId="4" borderId="0" xfId="1" applyNumberFormat="1" applyFont="1" applyFill="1" applyAlignment="1">
      <alignment vertical="center"/>
    </xf>
    <xf numFmtId="0" fontId="32" fillId="4" borderId="0" xfId="4" applyFont="1" applyFill="1" applyAlignment="1">
      <alignment horizontal="left" vertical="top" wrapText="1"/>
    </xf>
    <xf numFmtId="0" fontId="32" fillId="0" borderId="0" xfId="4" applyFont="1" applyAlignment="1">
      <alignment horizontal="left" vertical="top" wrapText="1"/>
    </xf>
    <xf numFmtId="0" fontId="32" fillId="0" borderId="0" xfId="4" applyFont="1" applyAlignment="1">
      <alignment vertical="top"/>
    </xf>
    <xf numFmtId="4" fontId="32" fillId="0" borderId="0" xfId="1" applyNumberFormat="1" applyFont="1" applyAlignment="1">
      <alignment vertical="center"/>
    </xf>
    <xf numFmtId="0" fontId="31" fillId="0" borderId="0" xfId="0" applyFont="1"/>
    <xf numFmtId="0" fontId="32" fillId="0" borderId="0" xfId="0" applyFont="1"/>
    <xf numFmtId="0" fontId="31" fillId="0" borderId="33" xfId="0" applyFont="1" applyBorder="1"/>
    <xf numFmtId="0" fontId="32" fillId="0" borderId="33" xfId="0" applyFont="1" applyBorder="1" applyAlignment="1">
      <alignment horizontal="right"/>
    </xf>
    <xf numFmtId="0" fontId="31" fillId="0" borderId="0" xfId="0" applyFont="1" applyAlignment="1">
      <alignment horizontal="right"/>
    </xf>
    <xf numFmtId="0" fontId="31" fillId="0" borderId="33" xfId="0" applyFont="1" applyBorder="1" applyAlignment="1">
      <alignment horizontal="right"/>
    </xf>
    <xf numFmtId="0" fontId="28" fillId="0" borderId="0" xfId="1" applyFont="1" applyAlignment="1">
      <alignment horizontal="left" vertical="center"/>
    </xf>
    <xf numFmtId="0" fontId="28" fillId="0" borderId="0" xfId="1" applyFont="1" applyAlignment="1">
      <alignment vertical="center"/>
    </xf>
    <xf numFmtId="0" fontId="28" fillId="0" borderId="0" xfId="1" applyFont="1" applyAlignment="1">
      <alignment vertical="center" wrapText="1"/>
    </xf>
    <xf numFmtId="0" fontId="28" fillId="0" borderId="0" xfId="1" applyFont="1" applyAlignment="1">
      <alignment horizontal="center" vertical="center"/>
    </xf>
    <xf numFmtId="43" fontId="22" fillId="0" borderId="0" xfId="3" applyFont="1" applyFill="1" applyAlignment="1" applyProtection="1">
      <alignment vertical="center" wrapText="1"/>
    </xf>
    <xf numFmtId="2" fontId="23" fillId="0" borderId="34" xfId="3" applyNumberFormat="1" applyFont="1" applyBorder="1" applyAlignment="1" applyProtection="1">
      <alignment horizontal="center" vertical="center" wrapText="1"/>
    </xf>
    <xf numFmtId="4" fontId="24" fillId="9" borderId="34" xfId="2" applyNumberFormat="1" applyFont="1" applyFill="1" applyBorder="1" applyAlignment="1" applyProtection="1">
      <alignment horizontal="center" vertical="center" wrapText="1"/>
    </xf>
    <xf numFmtId="4" fontId="24" fillId="9" borderId="1" xfId="2" applyNumberFormat="1" applyFont="1" applyFill="1" applyBorder="1" applyAlignment="1" applyProtection="1">
      <alignment horizontal="right" vertical="center"/>
      <protection locked="0"/>
    </xf>
    <xf numFmtId="4" fontId="23" fillId="0" borderId="1" xfId="2" applyNumberFormat="1" applyFont="1" applyBorder="1" applyAlignment="1" applyProtection="1">
      <alignment horizontal="right" vertical="center"/>
      <protection locked="0"/>
    </xf>
    <xf numFmtId="43" fontId="40" fillId="7" borderId="38" xfId="3" applyFont="1" applyFill="1" applyBorder="1" applyAlignment="1" applyProtection="1">
      <alignment horizontal="center" vertical="center" wrapText="1"/>
    </xf>
    <xf numFmtId="164" fontId="40" fillId="7" borderId="43" xfId="3" applyNumberFormat="1" applyFont="1" applyFill="1" applyBorder="1" applyAlignment="1" applyProtection="1">
      <alignment horizontal="right" vertical="center" wrapText="1"/>
    </xf>
    <xf numFmtId="164" fontId="40" fillId="7" borderId="0" xfId="3" applyNumberFormat="1" applyFont="1" applyFill="1" applyBorder="1" applyAlignment="1" applyProtection="1">
      <alignment horizontal="right" vertical="center" wrapText="1"/>
    </xf>
    <xf numFmtId="4" fontId="40" fillId="7" borderId="22" xfId="3" applyNumberFormat="1" applyFont="1" applyFill="1" applyBorder="1" applyAlignment="1" applyProtection="1">
      <alignment horizontal="right" vertical="center" wrapText="1"/>
    </xf>
    <xf numFmtId="0" fontId="23" fillId="0" borderId="1" xfId="7" applyFont="1" applyBorder="1" applyAlignment="1" applyProtection="1">
      <alignment vertical="center"/>
      <protection locked="0"/>
    </xf>
    <xf numFmtId="4" fontId="24" fillId="9" borderId="1" xfId="2" applyNumberFormat="1" applyFont="1" applyFill="1" applyBorder="1" applyAlignment="1" applyProtection="1">
      <alignment horizontal="center" vertical="center" wrapText="1"/>
    </xf>
    <xf numFmtId="4" fontId="23" fillId="0" borderId="1" xfId="2" applyNumberFormat="1" applyFont="1" applyBorder="1" applyAlignment="1" applyProtection="1">
      <alignment horizontal="center" vertical="center"/>
      <protection locked="0"/>
    </xf>
    <xf numFmtId="4" fontId="23" fillId="0" borderId="1" xfId="2" applyNumberFormat="1" applyFont="1" applyFill="1" applyBorder="1" applyAlignment="1" applyProtection="1">
      <alignment horizontal="center" vertical="center" wrapText="1"/>
    </xf>
    <xf numFmtId="43" fontId="40" fillId="7" borderId="47" xfId="2" applyFont="1" applyFill="1" applyBorder="1" applyAlignment="1" applyProtection="1">
      <alignment horizontal="center" vertical="center" wrapText="1"/>
    </xf>
    <xf numFmtId="43" fontId="51" fillId="7" borderId="1" xfId="2" applyFont="1" applyFill="1" applyBorder="1" applyAlignment="1" applyProtection="1">
      <alignment horizontal="center" vertical="center" wrapText="1"/>
    </xf>
    <xf numFmtId="4" fontId="51" fillId="7" borderId="3" xfId="2" applyNumberFormat="1" applyFont="1" applyFill="1" applyBorder="1" applyAlignment="1" applyProtection="1">
      <alignment horizontal="center" vertical="center" wrapText="1"/>
    </xf>
    <xf numFmtId="4" fontId="51" fillId="7" borderId="1" xfId="2" applyNumberFormat="1" applyFont="1" applyFill="1" applyBorder="1" applyAlignment="1" applyProtection="1">
      <alignment horizontal="center" vertical="center" wrapText="1"/>
    </xf>
    <xf numFmtId="4" fontId="40" fillId="7" borderId="7" xfId="3" applyNumberFormat="1" applyFont="1" applyFill="1" applyBorder="1" applyAlignment="1" applyProtection="1">
      <alignment horizontal="center" vertical="center" wrapText="1"/>
    </xf>
    <xf numFmtId="0" fontId="37" fillId="0" borderId="1" xfId="0" applyFont="1" applyBorder="1" applyProtection="1">
      <protection locked="0"/>
    </xf>
    <xf numFmtId="0" fontId="37" fillId="0" borderId="1" xfId="0" applyFont="1" applyBorder="1" applyAlignment="1" applyProtection="1">
      <alignment horizontal="right"/>
      <protection locked="0"/>
    </xf>
    <xf numFmtId="0" fontId="37" fillId="0" borderId="1" xfId="0" applyFont="1" applyBorder="1" applyAlignment="1" applyProtection="1">
      <alignment horizontal="center"/>
      <protection locked="0"/>
    </xf>
    <xf numFmtId="0" fontId="37" fillId="0" borderId="3" xfId="0" applyFont="1" applyBorder="1" applyAlignment="1" applyProtection="1">
      <alignment horizontal="right"/>
      <protection locked="0"/>
    </xf>
    <xf numFmtId="43" fontId="51" fillId="7" borderId="56" xfId="2" applyFont="1" applyFill="1" applyBorder="1" applyAlignment="1" applyProtection="1">
      <alignment horizontal="center" vertical="center" wrapText="1"/>
    </xf>
    <xf numFmtId="164" fontId="24" fillId="8" borderId="1" xfId="3" applyNumberFormat="1" applyFont="1" applyFill="1" applyBorder="1" applyAlignment="1" applyProtection="1">
      <alignment horizontal="right" vertical="center" wrapText="1"/>
    </xf>
    <xf numFmtId="4" fontId="24" fillId="8" borderId="1" xfId="2" applyNumberFormat="1" applyFont="1" applyFill="1" applyBorder="1" applyAlignment="1" applyProtection="1">
      <alignment horizontal="center" vertical="center" wrapText="1"/>
      <protection locked="0"/>
    </xf>
    <xf numFmtId="4" fontId="24" fillId="8" borderId="1" xfId="2" applyNumberFormat="1" applyFont="1" applyFill="1" applyBorder="1" applyAlignment="1" applyProtection="1">
      <alignment horizontal="right" vertical="center" wrapText="1"/>
    </xf>
    <xf numFmtId="4" fontId="24" fillId="8" borderId="34" xfId="2" applyNumberFormat="1" applyFont="1" applyFill="1" applyBorder="1" applyAlignment="1" applyProtection="1">
      <alignment horizontal="center" vertical="center" wrapText="1"/>
    </xf>
    <xf numFmtId="4" fontId="24" fillId="8" borderId="3" xfId="2" applyNumberFormat="1" applyFont="1" applyFill="1" applyBorder="1" applyAlignment="1" applyProtection="1">
      <alignment horizontal="right" vertical="center" wrapText="1"/>
    </xf>
    <xf numFmtId="4" fontId="24" fillId="9" borderId="3" xfId="2" applyNumberFormat="1" applyFont="1" applyFill="1" applyBorder="1" applyAlignment="1" applyProtection="1">
      <alignment horizontal="center" vertical="center" wrapText="1"/>
    </xf>
    <xf numFmtId="4" fontId="23" fillId="0" borderId="3" xfId="2" applyNumberFormat="1" applyFont="1" applyFill="1" applyBorder="1" applyAlignment="1" applyProtection="1">
      <alignment horizontal="center" vertical="center" wrapText="1"/>
    </xf>
    <xf numFmtId="0" fontId="23" fillId="0" borderId="60" xfId="7" applyFont="1" applyBorder="1" applyAlignment="1" applyProtection="1">
      <alignment vertical="center"/>
      <protection locked="0"/>
    </xf>
    <xf numFmtId="4" fontId="23" fillId="0" borderId="60" xfId="2" applyNumberFormat="1" applyFont="1" applyBorder="1" applyAlignment="1" applyProtection="1">
      <alignment horizontal="center" vertical="center"/>
      <protection locked="0"/>
    </xf>
    <xf numFmtId="4" fontId="23" fillId="0" borderId="60" xfId="2" applyNumberFormat="1" applyFont="1" applyFill="1" applyBorder="1" applyAlignment="1" applyProtection="1">
      <alignment horizontal="center" vertical="center" wrapText="1"/>
    </xf>
    <xf numFmtId="2" fontId="23" fillId="0" borderId="63" xfId="3" applyNumberFormat="1" applyFont="1" applyBorder="1" applyAlignment="1" applyProtection="1">
      <alignment horizontal="center" vertical="center" wrapText="1"/>
    </xf>
    <xf numFmtId="4" fontId="23" fillId="0" borderId="64" xfId="2" applyNumberFormat="1" applyFont="1" applyFill="1" applyBorder="1" applyAlignment="1" applyProtection="1">
      <alignment horizontal="center" vertical="center" wrapText="1"/>
    </xf>
    <xf numFmtId="4" fontId="23" fillId="0" borderId="60" xfId="8" applyNumberFormat="1" applyFont="1" applyBorder="1" applyAlignment="1" applyProtection="1">
      <alignment horizontal="left" vertical="top" wrapText="1"/>
      <protection locked="0"/>
    </xf>
    <xf numFmtId="4" fontId="23" fillId="0" borderId="34" xfId="2" applyNumberFormat="1" applyFont="1" applyFill="1" applyBorder="1" applyAlignment="1" applyProtection="1">
      <alignment horizontal="center" vertical="center" wrapText="1"/>
    </xf>
    <xf numFmtId="43" fontId="51" fillId="7" borderId="62" xfId="2" applyFont="1" applyFill="1" applyBorder="1" applyAlignment="1" applyProtection="1">
      <alignment horizontal="center" vertical="center" wrapText="1"/>
    </xf>
    <xf numFmtId="4" fontId="24" fillId="8" borderId="63" xfId="2" applyNumberFormat="1" applyFont="1" applyFill="1" applyBorder="1" applyAlignment="1" applyProtection="1">
      <alignment horizontal="center" vertical="center" wrapText="1"/>
    </xf>
    <xf numFmtId="43" fontId="51" fillId="7" borderId="63" xfId="2" applyFont="1" applyFill="1" applyBorder="1" applyAlignment="1" applyProtection="1">
      <alignment horizontal="center" vertical="center" wrapText="1"/>
    </xf>
    <xf numFmtId="4" fontId="41" fillId="8" borderId="34" xfId="2" applyNumberFormat="1" applyFont="1" applyFill="1" applyBorder="1" applyAlignment="1" applyProtection="1">
      <alignment horizontal="center" vertical="center" wrapText="1"/>
    </xf>
    <xf numFmtId="4" fontId="24" fillId="9" borderId="63" xfId="2" applyNumberFormat="1" applyFont="1" applyFill="1" applyBorder="1" applyAlignment="1" applyProtection="1">
      <alignment horizontal="center" vertical="center" wrapText="1"/>
      <protection locked="0"/>
    </xf>
    <xf numFmtId="4" fontId="24" fillId="9" borderId="60" xfId="2" applyNumberFormat="1" applyFont="1" applyFill="1" applyBorder="1" applyAlignment="1" applyProtection="1">
      <alignment horizontal="right" vertical="center"/>
      <protection locked="0"/>
    </xf>
    <xf numFmtId="4" fontId="24" fillId="9" borderId="60" xfId="2" applyNumberFormat="1" applyFont="1" applyFill="1" applyBorder="1" applyAlignment="1" applyProtection="1">
      <alignment horizontal="center" vertical="center"/>
    </xf>
    <xf numFmtId="4" fontId="24" fillId="9" borderId="60" xfId="2" applyNumberFormat="1" applyFont="1" applyFill="1" applyBorder="1" applyAlignment="1" applyProtection="1">
      <alignment horizontal="center" vertical="center" wrapText="1"/>
    </xf>
    <xf numFmtId="4" fontId="24" fillId="9" borderId="64" xfId="2" applyNumberFormat="1" applyFont="1" applyFill="1" applyBorder="1" applyAlignment="1" applyProtection="1">
      <alignment horizontal="center" vertical="center" wrapText="1"/>
    </xf>
    <xf numFmtId="49" fontId="23" fillId="0" borderId="0" xfId="0" applyNumberFormat="1" applyFont="1" applyProtection="1"/>
    <xf numFmtId="0" fontId="23" fillId="0" borderId="0" xfId="0" applyFont="1" applyProtection="1"/>
    <xf numFmtId="0" fontId="33" fillId="0" borderId="0" xfId="0" applyFont="1" applyProtection="1"/>
    <xf numFmtId="0" fontId="47" fillId="0" borderId="0" xfId="0" applyFont="1" applyAlignment="1" applyProtection="1">
      <alignment horizontal="right"/>
    </xf>
    <xf numFmtId="0" fontId="43" fillId="0" borderId="0" xfId="0" applyFont="1" applyAlignment="1" applyProtection="1">
      <alignment vertical="center"/>
    </xf>
    <xf numFmtId="0" fontId="43" fillId="0" borderId="0" xfId="7" applyFont="1" applyAlignment="1" applyProtection="1">
      <alignment vertical="center"/>
    </xf>
    <xf numFmtId="0" fontId="37" fillId="0" borderId="0" xfId="0" applyFont="1" applyAlignment="1" applyProtection="1">
      <alignment horizontal="right"/>
    </xf>
    <xf numFmtId="0" fontId="48" fillId="0" borderId="0" xfId="0" applyFont="1" applyAlignment="1" applyProtection="1">
      <alignment vertical="center"/>
    </xf>
    <xf numFmtId="0" fontId="35" fillId="0" borderId="0" xfId="0" applyFont="1" applyAlignment="1" applyProtection="1">
      <alignment horizontal="center" vertical="center" wrapText="1"/>
    </xf>
    <xf numFmtId="0" fontId="41" fillId="0" borderId="0" xfId="7" applyFont="1" applyFill="1" applyBorder="1" applyAlignment="1" applyProtection="1">
      <alignment vertical="center" wrapText="1"/>
    </xf>
    <xf numFmtId="0" fontId="23" fillId="0" borderId="0" xfId="0" applyFont="1" applyAlignment="1" applyProtection="1">
      <alignment horizontal="left" vertical="center"/>
    </xf>
    <xf numFmtId="0" fontId="23" fillId="0" borderId="0" xfId="0" applyFont="1" applyAlignment="1" applyProtection="1">
      <alignment horizontal="center" vertical="center" wrapText="1"/>
    </xf>
    <xf numFmtId="0" fontId="38" fillId="0" borderId="0" xfId="0" applyFont="1" applyAlignment="1" applyProtection="1">
      <alignment horizontal="right" vertical="center"/>
    </xf>
    <xf numFmtId="0" fontId="24" fillId="0" borderId="0" xfId="0" applyFont="1" applyProtection="1"/>
    <xf numFmtId="0" fontId="24" fillId="0" borderId="44" xfId="0" applyFont="1" applyBorder="1" applyAlignment="1" applyProtection="1">
      <alignment horizontal="center" vertical="center" wrapText="1"/>
    </xf>
    <xf numFmtId="0" fontId="24" fillId="0" borderId="29" xfId="0" applyFont="1" applyBorder="1" applyAlignment="1" applyProtection="1">
      <alignment horizontal="center" vertical="center" wrapText="1"/>
    </xf>
    <xf numFmtId="0" fontId="24" fillId="0" borderId="30" xfId="0" applyFont="1" applyBorder="1" applyAlignment="1" applyProtection="1">
      <alignment horizontal="center" vertical="center" wrapText="1"/>
    </xf>
    <xf numFmtId="0" fontId="24" fillId="0" borderId="57" xfId="1" applyFont="1" applyBorder="1" applyAlignment="1" applyProtection="1">
      <alignment horizontal="center" vertical="center" wrapText="1"/>
    </xf>
    <xf numFmtId="0" fontId="24" fillId="0" borderId="58" xfId="1" applyFont="1" applyBorder="1" applyAlignment="1" applyProtection="1">
      <alignment horizontal="center" vertical="center" wrapText="1"/>
    </xf>
    <xf numFmtId="0" fontId="24" fillId="0" borderId="0" xfId="1" applyFont="1" applyBorder="1" applyAlignment="1" applyProtection="1">
      <alignment horizontal="center" vertical="center" wrapText="1"/>
    </xf>
    <xf numFmtId="0" fontId="24" fillId="0" borderId="43" xfId="1" applyFont="1" applyBorder="1" applyAlignment="1" applyProtection="1">
      <alignment horizontal="center" vertical="center" wrapText="1"/>
    </xf>
    <xf numFmtId="0" fontId="24" fillId="0" borderId="59" xfId="1" applyFont="1" applyBorder="1" applyAlignment="1" applyProtection="1">
      <alignment horizontal="center" vertical="center" wrapText="1"/>
    </xf>
    <xf numFmtId="0" fontId="23" fillId="0" borderId="0" xfId="0" applyFont="1" applyAlignment="1" applyProtection="1">
      <alignment vertical="center"/>
    </xf>
    <xf numFmtId="0" fontId="24" fillId="8" borderId="2" xfId="1" applyFont="1" applyFill="1" applyBorder="1" applyAlignment="1" applyProtection="1">
      <alignment horizontal="center" vertical="center"/>
    </xf>
    <xf numFmtId="0" fontId="24" fillId="8" borderId="1" xfId="0" applyFont="1" applyFill="1" applyBorder="1" applyAlignment="1" applyProtection="1">
      <alignment horizontal="center" vertical="center" wrapText="1"/>
    </xf>
    <xf numFmtId="0" fontId="24" fillId="8" borderId="1" xfId="0" applyFont="1" applyFill="1" applyBorder="1" applyAlignment="1" applyProtection="1">
      <alignment horizontal="left" vertical="center" wrapText="1"/>
    </xf>
    <xf numFmtId="0" fontId="24" fillId="8" borderId="1" xfId="1" applyFont="1" applyFill="1" applyBorder="1" applyAlignment="1" applyProtection="1">
      <alignment horizontal="center" vertical="center" wrapText="1"/>
    </xf>
    <xf numFmtId="0" fontId="24" fillId="8" borderId="62" xfId="1" applyFont="1" applyFill="1" applyBorder="1" applyAlignment="1" applyProtection="1">
      <alignment horizontal="center" vertical="center" wrapText="1"/>
    </xf>
    <xf numFmtId="4" fontId="24" fillId="8" borderId="1" xfId="2" applyNumberFormat="1" applyFont="1" applyFill="1" applyBorder="1" applyAlignment="1" applyProtection="1">
      <alignment horizontal="center" vertical="center" wrapText="1"/>
    </xf>
    <xf numFmtId="0" fontId="23" fillId="0" borderId="1" xfId="7" applyFont="1" applyBorder="1" applyAlignment="1" applyProtection="1">
      <alignment vertical="center"/>
    </xf>
    <xf numFmtId="49" fontId="24" fillId="9" borderId="2" xfId="5" applyNumberFormat="1" applyFont="1" applyFill="1" applyBorder="1" applyAlignment="1" applyProtection="1">
      <alignment horizontal="center" vertical="center"/>
    </xf>
    <xf numFmtId="0" fontId="24" fillId="9" borderId="1" xfId="1" applyFont="1" applyFill="1" applyBorder="1" applyAlignment="1" applyProtection="1">
      <alignment horizontal="center" vertical="center"/>
    </xf>
    <xf numFmtId="0" fontId="24" fillId="9" borderId="1" xfId="5" applyFont="1" applyFill="1" applyBorder="1" applyAlignment="1" applyProtection="1">
      <alignment horizontal="left" vertical="center" wrapText="1"/>
    </xf>
    <xf numFmtId="0" fontId="24" fillId="9" borderId="1" xfId="5" applyFont="1" applyFill="1" applyBorder="1" applyAlignment="1" applyProtection="1">
      <alignment horizontal="center" vertical="center" wrapText="1"/>
    </xf>
    <xf numFmtId="3" fontId="24" fillId="9" borderId="1" xfId="5" applyNumberFormat="1" applyFont="1" applyFill="1" applyBorder="1" applyAlignment="1" applyProtection="1">
      <alignment horizontal="center" vertical="center"/>
    </xf>
    <xf numFmtId="0" fontId="23" fillId="9" borderId="62" xfId="1" applyFont="1" applyFill="1" applyBorder="1" applyAlignment="1" applyProtection="1">
      <alignment horizontal="center" vertical="center" wrapText="1"/>
    </xf>
    <xf numFmtId="4" fontId="24" fillId="9" borderId="1" xfId="2" applyNumberFormat="1" applyFont="1" applyFill="1" applyBorder="1" applyAlignment="1" applyProtection="1">
      <alignment horizontal="center" vertical="center"/>
    </xf>
    <xf numFmtId="4" fontId="23" fillId="0" borderId="60" xfId="11" applyNumberFormat="1" applyFont="1" applyBorder="1" applyAlignment="1" applyProtection="1">
      <alignment vertical="center" wrapText="1"/>
    </xf>
    <xf numFmtId="0" fontId="54" fillId="0" borderId="0" xfId="9" applyFont="1" applyAlignment="1" applyProtection="1">
      <alignment vertical="center"/>
    </xf>
    <xf numFmtId="49" fontId="23" fillId="0" borderId="2" xfId="5" applyNumberFormat="1" applyFont="1" applyBorder="1" applyAlignment="1" applyProtection="1">
      <alignment horizontal="center" vertical="center"/>
    </xf>
    <xf numFmtId="0" fontId="24" fillId="0" borderId="1" xfId="1" applyFont="1" applyBorder="1" applyAlignment="1" applyProtection="1">
      <alignment horizontal="center" vertical="center"/>
    </xf>
    <xf numFmtId="0" fontId="23" fillId="0" borderId="1" xfId="0" applyFont="1" applyBorder="1" applyAlignment="1" applyProtection="1">
      <alignment horizontal="center" vertical="center" wrapText="1"/>
    </xf>
    <xf numFmtId="0" fontId="43" fillId="0" borderId="1" xfId="0" applyFont="1" applyBorder="1" applyAlignment="1" applyProtection="1">
      <alignment wrapText="1"/>
    </xf>
    <xf numFmtId="0" fontId="23" fillId="0" borderId="1" xfId="5" applyFont="1" applyBorder="1" applyAlignment="1" applyProtection="1">
      <alignment horizontal="center" vertical="center" wrapText="1"/>
    </xf>
    <xf numFmtId="3" fontId="23" fillId="4" borderId="1" xfId="5" applyNumberFormat="1" applyFont="1" applyFill="1" applyBorder="1" applyAlignment="1" applyProtection="1">
      <alignment horizontal="center" vertical="center"/>
    </xf>
    <xf numFmtId="0" fontId="23" fillId="0" borderId="62" xfId="1" applyFont="1" applyBorder="1" applyAlignment="1" applyProtection="1">
      <alignment horizontal="center" vertical="center" wrapText="1"/>
    </xf>
    <xf numFmtId="4" fontId="23" fillId="0" borderId="1" xfId="2" applyNumberFormat="1" applyFont="1" applyBorder="1" applyAlignment="1" applyProtection="1">
      <alignment horizontal="center" vertical="center"/>
    </xf>
    <xf numFmtId="0" fontId="23" fillId="0" borderId="0" xfId="0" applyFont="1" applyAlignment="1" applyProtection="1">
      <alignment vertical="center" wrapText="1"/>
    </xf>
    <xf numFmtId="49" fontId="24" fillId="0" borderId="61" xfId="5" applyNumberFormat="1" applyFont="1" applyFill="1" applyBorder="1" applyAlignment="1" applyProtection="1">
      <alignment horizontal="center" vertical="center"/>
    </xf>
    <xf numFmtId="0" fontId="24" fillId="0" borderId="60" xfId="1" applyFont="1" applyFill="1" applyBorder="1" applyAlignment="1" applyProtection="1">
      <alignment horizontal="center" vertical="center"/>
    </xf>
    <xf numFmtId="0" fontId="43" fillId="0" borderId="1" xfId="0" applyFont="1" applyBorder="1" applyAlignment="1" applyProtection="1">
      <alignment horizontal="left" vertical="top" wrapText="1"/>
    </xf>
    <xf numFmtId="3" fontId="23" fillId="0" borderId="60" xfId="5" applyNumberFormat="1" applyFont="1" applyFill="1" applyBorder="1" applyAlignment="1" applyProtection="1">
      <alignment horizontal="center" vertical="center"/>
    </xf>
    <xf numFmtId="0" fontId="23" fillId="0" borderId="62" xfId="1" applyFont="1" applyFill="1" applyBorder="1" applyAlignment="1" applyProtection="1">
      <alignment horizontal="center" vertical="center" wrapText="1"/>
    </xf>
    <xf numFmtId="4" fontId="23" fillId="0" borderId="60" xfId="8" applyNumberFormat="1" applyFont="1" applyBorder="1" applyAlignment="1" applyProtection="1">
      <alignment horizontal="left" vertical="top" wrapText="1"/>
    </xf>
    <xf numFmtId="0" fontId="24" fillId="0" borderId="60" xfId="1" applyFont="1" applyBorder="1" applyAlignment="1" applyProtection="1">
      <alignment horizontal="center" vertical="center"/>
    </xf>
    <xf numFmtId="0" fontId="23" fillId="0" borderId="60" xfId="0" applyFont="1" applyBorder="1" applyAlignment="1" applyProtection="1">
      <alignment horizontal="center" vertical="center" wrapText="1"/>
    </xf>
    <xf numFmtId="4" fontId="23" fillId="0" borderId="60" xfId="2" applyNumberFormat="1" applyFont="1" applyBorder="1" applyAlignment="1" applyProtection="1">
      <alignment horizontal="center" vertical="center"/>
    </xf>
    <xf numFmtId="0" fontId="23" fillId="0" borderId="60" xfId="7" applyFont="1" applyBorder="1" applyAlignment="1" applyProtection="1">
      <alignment vertical="center"/>
    </xf>
    <xf numFmtId="0" fontId="23" fillId="0" borderId="1" xfId="0" applyFont="1" applyBorder="1" applyAlignment="1" applyProtection="1">
      <alignment vertical="center" wrapText="1"/>
    </xf>
    <xf numFmtId="0" fontId="43" fillId="0" borderId="1" xfId="0" applyFont="1" applyBorder="1" applyAlignment="1" applyProtection="1">
      <alignment horizontal="left" vertical="center" wrapText="1"/>
    </xf>
    <xf numFmtId="0" fontId="43" fillId="0" borderId="60" xfId="0" applyFont="1" applyBorder="1" applyAlignment="1" applyProtection="1">
      <alignment horizontal="left" vertical="top" wrapText="1"/>
    </xf>
    <xf numFmtId="0" fontId="43" fillId="0" borderId="60" xfId="0" applyFont="1" applyBorder="1" applyAlignment="1" applyProtection="1">
      <alignment horizontal="left" vertical="center" wrapText="1"/>
    </xf>
    <xf numFmtId="49" fontId="23" fillId="0" borderId="61" xfId="5" applyNumberFormat="1" applyFont="1" applyBorder="1" applyAlignment="1" applyProtection="1">
      <alignment horizontal="center" vertical="center"/>
    </xf>
    <xf numFmtId="0" fontId="23" fillId="0" borderId="60" xfId="5" applyFont="1" applyBorder="1" applyAlignment="1" applyProtection="1">
      <alignment horizontal="center" vertical="center" wrapText="1"/>
    </xf>
    <xf numFmtId="3" fontId="23" fillId="4" borderId="60" xfId="5" applyNumberFormat="1" applyFont="1" applyFill="1" applyBorder="1" applyAlignment="1" applyProtection="1">
      <alignment horizontal="center" vertical="center"/>
    </xf>
    <xf numFmtId="0" fontId="48" fillId="0" borderId="60" xfId="0" applyFont="1" applyBorder="1" applyAlignment="1" applyProtection="1">
      <alignment horizontal="left" vertical="top" wrapText="1"/>
    </xf>
    <xf numFmtId="49" fontId="24" fillId="9" borderId="61" xfId="5" applyNumberFormat="1" applyFont="1" applyFill="1" applyBorder="1" applyAlignment="1" applyProtection="1">
      <alignment horizontal="center" vertical="center"/>
    </xf>
    <xf numFmtId="0" fontId="24" fillId="9" borderId="60" xfId="1" applyFont="1" applyFill="1" applyBorder="1" applyAlignment="1" applyProtection="1">
      <alignment horizontal="center" vertical="center"/>
    </xf>
    <xf numFmtId="0" fontId="24" fillId="9" borderId="60" xfId="5" applyFont="1" applyFill="1" applyBorder="1" applyAlignment="1" applyProtection="1">
      <alignment horizontal="left" vertical="center" wrapText="1"/>
    </xf>
    <xf numFmtId="3" fontId="24" fillId="9" borderId="60" xfId="5" applyNumberFormat="1" applyFont="1" applyFill="1" applyBorder="1" applyAlignment="1" applyProtection="1">
      <alignment horizontal="center" vertical="center"/>
    </xf>
    <xf numFmtId="49" fontId="23" fillId="0" borderId="60" xfId="5" applyNumberFormat="1" applyFont="1" applyBorder="1" applyAlignment="1" applyProtection="1">
      <alignment horizontal="center" vertical="center"/>
    </xf>
    <xf numFmtId="0" fontId="23" fillId="0" borderId="60" xfId="0" applyFont="1" applyBorder="1" applyAlignment="1" applyProtection="1">
      <alignment vertical="center" wrapText="1"/>
    </xf>
    <xf numFmtId="1" fontId="39" fillId="7" borderId="45" xfId="1" applyNumberFormat="1" applyFont="1" applyFill="1" applyBorder="1" applyAlignment="1" applyProtection="1">
      <alignment horizontal="left" vertical="center" wrapText="1"/>
    </xf>
    <xf numFmtId="49" fontId="39" fillId="7" borderId="46" xfId="1" applyNumberFormat="1" applyFont="1" applyFill="1" applyBorder="1" applyAlignment="1" applyProtection="1">
      <alignment horizontal="left" vertical="center" wrapText="1"/>
    </xf>
    <xf numFmtId="1" fontId="50" fillId="7" borderId="2" xfId="1" applyNumberFormat="1" applyFont="1" applyFill="1" applyBorder="1" applyAlignment="1" applyProtection="1">
      <alignment horizontal="left" vertical="center" wrapText="1"/>
    </xf>
    <xf numFmtId="49" fontId="50" fillId="7" borderId="5" xfId="1" applyNumberFormat="1" applyFont="1" applyFill="1" applyBorder="1" applyAlignment="1" applyProtection="1">
      <alignment horizontal="left" vertical="center" wrapText="1"/>
    </xf>
    <xf numFmtId="49" fontId="24" fillId="11" borderId="48" xfId="1" applyNumberFormat="1" applyFont="1" applyFill="1" applyBorder="1" applyAlignment="1" applyProtection="1">
      <alignment vertical="center"/>
    </xf>
    <xf numFmtId="49" fontId="24" fillId="11" borderId="33" xfId="1" applyNumberFormat="1" applyFont="1" applyFill="1" applyBorder="1" applyAlignment="1" applyProtection="1">
      <alignment vertical="center"/>
    </xf>
    <xf numFmtId="49" fontId="24" fillId="11" borderId="3" xfId="1" applyNumberFormat="1" applyFont="1" applyFill="1" applyBorder="1" applyAlignment="1" applyProtection="1">
      <alignment vertical="center"/>
    </xf>
    <xf numFmtId="0" fontId="43" fillId="0" borderId="0" xfId="0" applyFont="1" applyProtection="1"/>
    <xf numFmtId="0" fontId="43" fillId="0" borderId="0" xfId="0" applyFont="1" applyAlignment="1" applyProtection="1">
      <alignment horizontal="left" vertical="center"/>
    </xf>
    <xf numFmtId="0" fontId="49" fillId="0" borderId="0" xfId="1" applyFont="1" applyAlignment="1" applyProtection="1">
      <alignment horizontal="center" vertical="center"/>
    </xf>
    <xf numFmtId="0" fontId="49" fillId="0" borderId="0" xfId="1" applyFont="1" applyAlignment="1" applyProtection="1">
      <alignment vertical="center"/>
    </xf>
    <xf numFmtId="0" fontId="49" fillId="0" borderId="0" xfId="1" applyFont="1" applyAlignment="1" applyProtection="1">
      <alignment vertical="center" wrapText="1"/>
    </xf>
    <xf numFmtId="4" fontId="49" fillId="0" borderId="0" xfId="1" applyNumberFormat="1" applyFont="1" applyAlignment="1" applyProtection="1">
      <alignment vertical="center"/>
    </xf>
    <xf numFmtId="0" fontId="23" fillId="0" borderId="0" xfId="7" applyFont="1" applyBorder="1" applyAlignment="1" applyProtection="1">
      <alignment vertical="center"/>
    </xf>
    <xf numFmtId="4" fontId="23" fillId="0" borderId="0" xfId="8" applyNumberFormat="1" applyFont="1" applyBorder="1" applyAlignment="1" applyProtection="1">
      <alignment horizontal="left" vertical="top" wrapText="1"/>
    </xf>
    <xf numFmtId="0" fontId="43" fillId="0" borderId="0" xfId="7" applyFont="1" applyBorder="1" applyAlignment="1" applyProtection="1">
      <alignment vertical="center"/>
    </xf>
    <xf numFmtId="2" fontId="23" fillId="0" borderId="63" xfId="3" applyNumberFormat="1" applyFont="1" applyBorder="1" applyAlignment="1" applyProtection="1">
      <alignment horizontal="center" vertical="center" wrapText="1"/>
      <protection locked="0"/>
    </xf>
    <xf numFmtId="4" fontId="24" fillId="9" borderId="1" xfId="2" applyNumberFormat="1" applyFont="1" applyFill="1" applyBorder="1" applyAlignment="1" applyProtection="1">
      <alignment horizontal="center" vertical="center" wrapText="1"/>
      <protection locked="0"/>
    </xf>
    <xf numFmtId="4" fontId="24" fillId="0" borderId="63" xfId="2" applyNumberFormat="1" applyFont="1" applyFill="1" applyBorder="1" applyAlignment="1" applyProtection="1">
      <alignment horizontal="center" vertical="center" wrapText="1"/>
      <protection locked="0"/>
    </xf>
    <xf numFmtId="4" fontId="24" fillId="0" borderId="60" xfId="2" applyNumberFormat="1" applyFont="1" applyFill="1" applyBorder="1" applyAlignment="1" applyProtection="1">
      <alignment horizontal="center" vertical="center" wrapText="1"/>
      <protection locked="0"/>
    </xf>
    <xf numFmtId="4" fontId="24" fillId="8" borderId="63" xfId="2" applyNumberFormat="1" applyFont="1" applyFill="1" applyBorder="1" applyAlignment="1" applyProtection="1">
      <alignment horizontal="center" vertical="center" wrapText="1"/>
      <protection locked="0"/>
    </xf>
    <xf numFmtId="49" fontId="42" fillId="0" borderId="2" xfId="0" applyNumberFormat="1" applyFont="1" applyBorder="1" applyAlignment="1" applyProtection="1">
      <alignment horizontal="center" vertical="center"/>
      <protection locked="0"/>
    </xf>
    <xf numFmtId="0" fontId="44" fillId="0" borderId="1" xfId="0" applyFont="1" applyBorder="1" applyAlignment="1" applyProtection="1">
      <alignment vertical="center" wrapText="1"/>
      <protection locked="0"/>
    </xf>
    <xf numFmtId="0" fontId="23" fillId="0" borderId="1" xfId="1" applyFont="1" applyBorder="1" applyAlignment="1" applyProtection="1">
      <alignment vertical="center" wrapText="1"/>
      <protection locked="0"/>
    </xf>
    <xf numFmtId="0" fontId="44" fillId="0" borderId="3" xfId="0" applyFont="1" applyBorder="1" applyAlignment="1" applyProtection="1">
      <alignment vertical="center" wrapText="1"/>
      <protection locked="0"/>
    </xf>
    <xf numFmtId="49" fontId="23" fillId="0" borderId="2" xfId="0" applyNumberFormat="1" applyFont="1" applyBorder="1" applyAlignment="1" applyProtection="1">
      <alignment horizontal="center" vertical="center"/>
      <protection locked="0"/>
    </xf>
    <xf numFmtId="49" fontId="23" fillId="0" borderId="1" xfId="0" applyNumberFormat="1" applyFont="1" applyBorder="1" applyProtection="1">
      <protection locked="0"/>
    </xf>
    <xf numFmtId="0" fontId="23" fillId="0" borderId="1" xfId="0" applyFont="1" applyBorder="1" applyProtection="1">
      <protection locked="0"/>
    </xf>
    <xf numFmtId="0" fontId="45" fillId="0" borderId="1" xfId="0" applyFont="1" applyBorder="1" applyProtection="1">
      <protection locked="0"/>
    </xf>
    <xf numFmtId="0" fontId="46" fillId="0" borderId="3" xfId="0" applyFont="1" applyBorder="1" applyProtection="1">
      <protection locked="0"/>
    </xf>
    <xf numFmtId="0" fontId="49" fillId="0" borderId="2" xfId="1" applyFont="1" applyBorder="1" applyAlignment="1" applyProtection="1">
      <alignment horizontal="center" vertical="center"/>
      <protection locked="0"/>
    </xf>
    <xf numFmtId="0" fontId="49" fillId="0" borderId="1" xfId="1" applyFont="1" applyBorder="1" applyAlignment="1" applyProtection="1">
      <alignment vertical="center"/>
      <protection locked="0"/>
    </xf>
    <xf numFmtId="0" fontId="49" fillId="0" borderId="1" xfId="1" applyFont="1" applyBorder="1" applyAlignment="1" applyProtection="1">
      <alignment horizontal="center" vertical="center"/>
      <protection locked="0"/>
    </xf>
    <xf numFmtId="4" fontId="49" fillId="0" borderId="1" xfId="1" applyNumberFormat="1" applyFont="1" applyBorder="1" applyAlignment="1" applyProtection="1">
      <alignment vertical="center"/>
      <protection locked="0"/>
    </xf>
    <xf numFmtId="0" fontId="49" fillId="0" borderId="3" xfId="1" applyFont="1" applyBorder="1" applyAlignment="1" applyProtection="1">
      <alignment vertical="center"/>
      <protection locked="0"/>
    </xf>
    <xf numFmtId="0" fontId="23" fillId="0" borderId="1" xfId="1" applyFont="1" applyBorder="1" applyAlignment="1" applyProtection="1">
      <alignment horizontal="left" vertical="center" wrapText="1"/>
      <protection locked="0"/>
    </xf>
    <xf numFmtId="0" fontId="49" fillId="0" borderId="49" xfId="1" applyFont="1" applyBorder="1" applyAlignment="1" applyProtection="1">
      <alignment horizontal="center" vertical="center"/>
      <protection locked="0"/>
    </xf>
    <xf numFmtId="0" fontId="49" fillId="0" borderId="50" xfId="1" applyFont="1" applyBorder="1" applyAlignment="1" applyProtection="1">
      <alignment vertical="center"/>
      <protection locked="0"/>
    </xf>
    <xf numFmtId="0" fontId="23" fillId="0" borderId="50" xfId="1" applyFont="1" applyBorder="1" applyAlignment="1" applyProtection="1">
      <alignment vertical="center" wrapText="1"/>
      <protection locked="0"/>
    </xf>
    <xf numFmtId="0" fontId="49" fillId="0" borderId="50" xfId="1" applyFont="1" applyBorder="1" applyAlignment="1" applyProtection="1">
      <alignment horizontal="center" vertical="center"/>
      <protection locked="0"/>
    </xf>
    <xf numFmtId="4" fontId="49" fillId="0" borderId="50" xfId="1" applyNumberFormat="1" applyFont="1" applyBorder="1" applyAlignment="1" applyProtection="1">
      <alignment vertical="center"/>
      <protection locked="0"/>
    </xf>
    <xf numFmtId="0" fontId="49" fillId="0" borderId="51" xfId="1" applyFont="1" applyBorder="1" applyAlignment="1" applyProtection="1">
      <alignment vertical="center"/>
      <protection locked="0"/>
    </xf>
    <xf numFmtId="0" fontId="24" fillId="9" borderId="62" xfId="1" applyFont="1" applyFill="1" applyBorder="1" applyAlignment="1" applyProtection="1">
      <alignment horizontal="center" vertical="center" wrapText="1"/>
    </xf>
    <xf numFmtId="49" fontId="23" fillId="0" borderId="61" xfId="5" applyNumberFormat="1" applyFont="1" applyFill="1" applyBorder="1" applyAlignment="1" applyProtection="1">
      <alignment horizontal="center" vertical="center"/>
    </xf>
    <xf numFmtId="0" fontId="48" fillId="0" borderId="1" xfId="0" applyFont="1" applyBorder="1" applyAlignment="1" applyProtection="1">
      <alignment horizontal="left" vertical="center" wrapText="1"/>
    </xf>
    <xf numFmtId="4" fontId="23" fillId="0" borderId="60" xfId="11" applyNumberFormat="1" applyFont="1" applyBorder="1" applyAlignment="1" applyProtection="1">
      <alignment vertical="center" wrapText="1"/>
      <protection locked="0"/>
    </xf>
    <xf numFmtId="4" fontId="23" fillId="0" borderId="1" xfId="8" applyNumberFormat="1" applyFont="1" applyBorder="1" applyAlignment="1" applyProtection="1">
      <alignment horizontal="left" vertical="top" wrapText="1"/>
    </xf>
    <xf numFmtId="0" fontId="23" fillId="0" borderId="60" xfId="0" applyFont="1" applyBorder="1" applyAlignment="1" applyProtection="1">
      <alignment vertical="center"/>
      <protection locked="0"/>
    </xf>
    <xf numFmtId="0" fontId="35" fillId="0" borderId="0" xfId="0" applyFont="1" applyAlignment="1" applyProtection="1">
      <alignment horizontal="center" vertical="center" wrapText="1"/>
    </xf>
    <xf numFmtId="0" fontId="24" fillId="0" borderId="29" xfId="0" applyFont="1" applyBorder="1" applyAlignment="1" applyProtection="1">
      <alignment horizontal="center" vertical="center" wrapText="1"/>
    </xf>
    <xf numFmtId="0" fontId="41" fillId="10" borderId="60" xfId="7" applyFont="1" applyFill="1" applyBorder="1" applyAlignment="1" applyProtection="1">
      <alignment horizontal="center" vertical="center" wrapText="1"/>
    </xf>
    <xf numFmtId="2" fontId="23" fillId="0" borderId="34" xfId="3" applyNumberFormat="1" applyFont="1" applyFill="1" applyBorder="1" applyAlignment="1" applyProtection="1">
      <alignment horizontal="center" vertical="center" wrapText="1"/>
    </xf>
    <xf numFmtId="0" fontId="41" fillId="10" borderId="33" xfId="7" applyFont="1" applyFill="1" applyBorder="1" applyAlignment="1" applyProtection="1">
      <alignment horizontal="center" vertical="center" wrapText="1"/>
    </xf>
    <xf numFmtId="43" fontId="40" fillId="7" borderId="47" xfId="2" applyFont="1" applyFill="1" applyBorder="1" applyAlignment="1" applyProtection="1">
      <alignment horizontal="left" vertical="center" wrapText="1"/>
    </xf>
    <xf numFmtId="164" fontId="40" fillId="7" borderId="0" xfId="3" applyNumberFormat="1" applyFont="1" applyFill="1" applyBorder="1" applyAlignment="1" applyProtection="1">
      <alignment horizontal="right" vertical="center" wrapText="1"/>
      <protection locked="0"/>
    </xf>
    <xf numFmtId="4" fontId="40" fillId="7" borderId="22" xfId="3" applyNumberFormat="1" applyFont="1" applyFill="1" applyBorder="1" applyAlignment="1" applyProtection="1">
      <alignment horizontal="right" vertical="center" wrapText="1"/>
      <protection locked="0"/>
    </xf>
    <xf numFmtId="4" fontId="23" fillId="0" borderId="1" xfId="7" applyNumberFormat="1" applyFont="1" applyBorder="1" applyAlignment="1" applyProtection="1">
      <alignment vertical="center"/>
    </xf>
    <xf numFmtId="0" fontId="24" fillId="0" borderId="26" xfId="0" applyFont="1" applyBorder="1" applyAlignment="1" applyProtection="1">
      <alignment horizontal="center" vertical="center" wrapText="1"/>
    </xf>
    <xf numFmtId="0" fontId="24" fillId="0" borderId="32" xfId="0" applyFont="1" applyBorder="1" applyAlignment="1" applyProtection="1">
      <alignment horizontal="center" vertical="center" wrapText="1"/>
    </xf>
    <xf numFmtId="0" fontId="41" fillId="10" borderId="42" xfId="7" applyFont="1" applyFill="1" applyBorder="1" applyAlignment="1" applyProtection="1">
      <alignment horizontal="center" vertical="center" wrapText="1"/>
    </xf>
    <xf numFmtId="0" fontId="41" fillId="10" borderId="43" xfId="7" applyFont="1" applyFill="1" applyBorder="1" applyAlignment="1" applyProtection="1">
      <alignment horizontal="center" vertical="center" wrapText="1"/>
    </xf>
    <xf numFmtId="0" fontId="41" fillId="10" borderId="65" xfId="7" applyFont="1" applyFill="1" applyBorder="1" applyAlignment="1" applyProtection="1">
      <alignment horizontal="center" vertical="center" wrapText="1"/>
    </xf>
    <xf numFmtId="0" fontId="34" fillId="0" borderId="0" xfId="0" applyFont="1" applyAlignment="1" applyProtection="1">
      <alignment horizontal="center" vertical="center" wrapText="1"/>
    </xf>
    <xf numFmtId="0" fontId="35" fillId="0" borderId="0" xfId="0" applyFont="1" applyAlignment="1" applyProtection="1">
      <alignment horizontal="center" vertical="center" wrapText="1"/>
    </xf>
    <xf numFmtId="49" fontId="24" fillId="0" borderId="16" xfId="0" applyNumberFormat="1" applyFont="1" applyBorder="1" applyAlignment="1" applyProtection="1">
      <alignment horizontal="center" vertical="center" wrapText="1"/>
    </xf>
    <xf numFmtId="49" fontId="24" fillId="0" borderId="21" xfId="0" applyNumberFormat="1" applyFont="1" applyBorder="1" applyAlignment="1" applyProtection="1">
      <alignment horizontal="center" vertical="center" wrapText="1"/>
    </xf>
    <xf numFmtId="49" fontId="24" fillId="0" borderId="27" xfId="0" applyNumberFormat="1" applyFont="1" applyBorder="1" applyAlignment="1" applyProtection="1">
      <alignment horizontal="center" vertical="center" wrapText="1"/>
    </xf>
    <xf numFmtId="49" fontId="24" fillId="0" borderId="37" xfId="0" applyNumberFormat="1" applyFont="1" applyBorder="1" applyAlignment="1" applyProtection="1">
      <alignment horizontal="center" vertical="center" wrapText="1"/>
    </xf>
    <xf numFmtId="49" fontId="24" fillId="0" borderId="38" xfId="0" applyNumberFormat="1" applyFont="1" applyBorder="1" applyAlignment="1" applyProtection="1">
      <alignment horizontal="center" vertical="center" wrapText="1"/>
    </xf>
    <xf numFmtId="49" fontId="24" fillId="0" borderId="39" xfId="0" applyNumberFormat="1" applyFont="1" applyBorder="1" applyAlignment="1" applyProtection="1">
      <alignment horizontal="center" vertical="center" wrapText="1"/>
    </xf>
    <xf numFmtId="0" fontId="24" fillId="4" borderId="41" xfId="0" applyFont="1" applyFill="1" applyBorder="1" applyAlignment="1" applyProtection="1">
      <alignment horizontal="center" vertical="center" wrapText="1"/>
    </xf>
    <xf numFmtId="0" fontId="24" fillId="4" borderId="40" xfId="0" applyFont="1" applyFill="1" applyBorder="1" applyAlignment="1" applyProtection="1">
      <alignment horizontal="center" vertical="center" wrapText="1"/>
    </xf>
    <xf numFmtId="0" fontId="24" fillId="4" borderId="4" xfId="0" applyFont="1" applyFill="1" applyBorder="1" applyAlignment="1" applyProtection="1">
      <alignment horizontal="center" vertical="center" wrapText="1"/>
    </xf>
    <xf numFmtId="0" fontId="24" fillId="4" borderId="52" xfId="0" applyFont="1" applyFill="1" applyBorder="1" applyAlignment="1" applyProtection="1">
      <alignment horizontal="center" vertical="center" wrapText="1"/>
    </xf>
    <xf numFmtId="0" fontId="24" fillId="4" borderId="53" xfId="0" applyFont="1" applyFill="1" applyBorder="1" applyAlignment="1" applyProtection="1">
      <alignment horizontal="center" vertical="center" wrapText="1"/>
    </xf>
    <xf numFmtId="0" fontId="24" fillId="4" borderId="54" xfId="0" applyFont="1" applyFill="1" applyBorder="1" applyAlignment="1" applyProtection="1">
      <alignment horizontal="center" vertical="center" wrapText="1"/>
    </xf>
    <xf numFmtId="0" fontId="24" fillId="4" borderId="42" xfId="0" applyFont="1" applyFill="1" applyBorder="1" applyAlignment="1" applyProtection="1">
      <alignment horizontal="center" vertical="center" wrapText="1"/>
    </xf>
    <xf numFmtId="0" fontId="24" fillId="4" borderId="43" xfId="0" applyFont="1" applyFill="1" applyBorder="1" applyAlignment="1" applyProtection="1">
      <alignment horizontal="center" vertical="center" wrapText="1"/>
    </xf>
    <xf numFmtId="0" fontId="24" fillId="4" borderId="36" xfId="0" applyFont="1" applyFill="1" applyBorder="1" applyAlignment="1" applyProtection="1">
      <alignment horizontal="center" vertical="center" wrapText="1"/>
    </xf>
    <xf numFmtId="0" fontId="22" fillId="6" borderId="14" xfId="7" applyFont="1" applyFill="1" applyBorder="1" applyAlignment="1" applyProtection="1">
      <alignment horizontal="center" vertical="center" wrapText="1"/>
      <protection locked="0"/>
    </xf>
    <xf numFmtId="0" fontId="22" fillId="6" borderId="15" xfId="7" applyFont="1" applyFill="1" applyBorder="1" applyAlignment="1" applyProtection="1">
      <alignment horizontal="center" vertical="center" wrapText="1"/>
      <protection locked="0"/>
    </xf>
    <xf numFmtId="0" fontId="24" fillId="0" borderId="55" xfId="0" applyFont="1" applyBorder="1" applyAlignment="1" applyProtection="1">
      <alignment horizontal="center" vertical="center" wrapText="1"/>
    </xf>
    <xf numFmtId="0" fontId="24" fillId="0" borderId="35" xfId="0" applyFont="1" applyBorder="1" applyAlignment="1" applyProtection="1">
      <alignment horizontal="center" vertical="center" wrapText="1"/>
    </xf>
    <xf numFmtId="0" fontId="24" fillId="0" borderId="23" xfId="0" applyFont="1" applyBorder="1" applyAlignment="1" applyProtection="1">
      <alignment horizontal="center" vertical="center" wrapText="1"/>
    </xf>
    <xf numFmtId="0" fontId="24" fillId="0" borderId="29" xfId="0" applyFont="1" applyBorder="1" applyAlignment="1" applyProtection="1">
      <alignment horizontal="center" vertical="center" wrapText="1"/>
    </xf>
    <xf numFmtId="0" fontId="24" fillId="0" borderId="24" xfId="0" applyFont="1" applyBorder="1" applyAlignment="1" applyProtection="1">
      <alignment horizontal="center" vertical="center" wrapText="1"/>
    </xf>
    <xf numFmtId="0" fontId="41" fillId="10" borderId="60" xfId="7" applyFont="1" applyFill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 vertical="center" wrapText="1"/>
      <protection locked="0"/>
    </xf>
    <xf numFmtId="0" fontId="23" fillId="0" borderId="20" xfId="0" applyFont="1" applyBorder="1" applyAlignment="1" applyProtection="1">
      <alignment horizontal="center" vertical="center" wrapText="1"/>
      <protection locked="0"/>
    </xf>
    <xf numFmtId="0" fontId="23" fillId="0" borderId="25" xfId="0" applyFont="1" applyBorder="1" applyAlignment="1" applyProtection="1">
      <alignment horizontal="center" vertical="center" wrapText="1"/>
      <protection locked="0"/>
    </xf>
    <xf numFmtId="0" fontId="23" fillId="0" borderId="31" xfId="0" applyFont="1" applyBorder="1" applyAlignment="1" applyProtection="1">
      <alignment horizontal="center" vertical="center" wrapText="1"/>
      <protection locked="0"/>
    </xf>
    <xf numFmtId="0" fontId="22" fillId="6" borderId="13" xfId="0" applyFont="1" applyFill="1" applyBorder="1" applyAlignment="1" applyProtection="1">
      <alignment horizontal="center" vertical="center" wrapText="1"/>
      <protection locked="0"/>
    </xf>
    <xf numFmtId="0" fontId="22" fillId="6" borderId="14" xfId="0" applyFont="1" applyFill="1" applyBorder="1" applyAlignment="1" applyProtection="1">
      <alignment horizontal="center" vertical="center" wrapText="1"/>
      <protection locked="0"/>
    </xf>
    <xf numFmtId="0" fontId="22" fillId="6" borderId="15" xfId="0" applyFont="1" applyFill="1" applyBorder="1" applyAlignment="1" applyProtection="1">
      <alignment horizontal="center" vertical="center" wrapText="1"/>
      <protection locked="0"/>
    </xf>
    <xf numFmtId="0" fontId="23" fillId="0" borderId="21" xfId="0" applyFont="1" applyBorder="1" applyAlignment="1" applyProtection="1">
      <alignment horizontal="center" vertical="center" wrapText="1"/>
      <protection locked="0"/>
    </xf>
    <xf numFmtId="0" fontId="23" fillId="0" borderId="23" xfId="0" applyFont="1" applyBorder="1" applyAlignment="1" applyProtection="1">
      <alignment horizontal="center" vertical="center" wrapText="1"/>
      <protection locked="0"/>
    </xf>
    <xf numFmtId="0" fontId="23" fillId="0" borderId="29" xfId="0" applyFont="1" applyBorder="1" applyAlignment="1" applyProtection="1">
      <alignment horizontal="center" vertical="center" wrapText="1"/>
      <protection locked="0"/>
    </xf>
    <xf numFmtId="0" fontId="24" fillId="0" borderId="26" xfId="0" applyFont="1" applyBorder="1" applyAlignment="1" applyProtection="1">
      <alignment horizontal="center" vertical="center" wrapText="1"/>
      <protection locked="0"/>
    </xf>
    <xf numFmtId="0" fontId="24" fillId="0" borderId="32" xfId="0" applyFont="1" applyBorder="1" applyAlignment="1" applyProtection="1">
      <alignment horizontal="center" vertical="center" wrapText="1"/>
      <protection locked="0"/>
    </xf>
    <xf numFmtId="49" fontId="23" fillId="0" borderId="16" xfId="0" applyNumberFormat="1" applyFont="1" applyBorder="1" applyAlignment="1" applyProtection="1">
      <alignment horizontal="center" vertical="center" wrapText="1"/>
      <protection locked="0"/>
    </xf>
    <xf numFmtId="49" fontId="23" fillId="0" borderId="21" xfId="0" applyNumberFormat="1" applyFont="1" applyBorder="1" applyAlignment="1" applyProtection="1">
      <alignment horizontal="center" vertical="center" wrapText="1"/>
      <protection locked="0"/>
    </xf>
    <xf numFmtId="49" fontId="23" fillId="0" borderId="27" xfId="0" applyNumberFormat="1" applyFont="1" applyBorder="1" applyAlignment="1" applyProtection="1">
      <alignment horizontal="center" vertical="center" wrapText="1"/>
      <protection locked="0"/>
    </xf>
    <xf numFmtId="49" fontId="23" fillId="0" borderId="17" xfId="0" applyNumberFormat="1" applyFont="1" applyBorder="1" applyAlignment="1" applyProtection="1">
      <alignment horizontal="center" vertical="center" wrapText="1"/>
      <protection locked="0"/>
    </xf>
    <xf numFmtId="49" fontId="23" fillId="0" borderId="22" xfId="0" applyNumberFormat="1" applyFont="1" applyBorder="1" applyAlignment="1" applyProtection="1">
      <alignment horizontal="center" vertical="center" wrapText="1"/>
      <protection locked="0"/>
    </xf>
    <xf numFmtId="49" fontId="23" fillId="0" borderId="28" xfId="0" applyNumberFormat="1" applyFont="1" applyBorder="1" applyAlignment="1" applyProtection="1">
      <alignment horizontal="center" vertical="center" wrapText="1"/>
      <protection locked="0"/>
    </xf>
    <xf numFmtId="0" fontId="23" fillId="0" borderId="18" xfId="0" applyFont="1" applyBorder="1" applyAlignment="1" applyProtection="1">
      <alignment horizontal="center" vertical="center" wrapText="1"/>
      <protection locked="0"/>
    </xf>
    <xf numFmtId="0" fontId="23" fillId="0" borderId="17" xfId="0" applyFont="1" applyBorder="1" applyAlignment="1" applyProtection="1">
      <alignment horizontal="center" vertical="center" wrapText="1"/>
      <protection locked="0"/>
    </xf>
    <xf numFmtId="0" fontId="23" fillId="0" borderId="22" xfId="0" applyFont="1" applyBorder="1" applyAlignment="1" applyProtection="1">
      <alignment horizontal="center" vertical="center" wrapText="1"/>
      <protection locked="0"/>
    </xf>
    <xf numFmtId="0" fontId="23" fillId="0" borderId="28" xfId="0" applyFont="1" applyBorder="1" applyAlignment="1" applyProtection="1">
      <alignment horizontal="center" vertical="center" wrapText="1"/>
      <protection locked="0"/>
    </xf>
    <xf numFmtId="0" fontId="23" fillId="0" borderId="19" xfId="0" applyFont="1" applyBorder="1" applyAlignment="1" applyProtection="1">
      <alignment horizontal="center" vertical="center" wrapText="1"/>
      <protection locked="0"/>
    </xf>
    <xf numFmtId="0" fontId="23" fillId="0" borderId="24" xfId="0" applyFont="1" applyBorder="1" applyAlignment="1" applyProtection="1">
      <alignment horizontal="center" vertical="center" wrapText="1"/>
      <protection locked="0"/>
    </xf>
    <xf numFmtId="0" fontId="23" fillId="0" borderId="30" xfId="0" applyFont="1" applyBorder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horizontal="left" vertical="center" wrapText="1"/>
      <protection locked="0"/>
    </xf>
    <xf numFmtId="0" fontId="20" fillId="0" borderId="0" xfId="4" applyFont="1" applyAlignment="1" applyProtection="1">
      <alignment horizontal="left" vertical="top" wrapText="1"/>
      <protection locked="0"/>
    </xf>
    <xf numFmtId="0" fontId="20" fillId="0" borderId="0" xfId="4" applyFont="1" applyAlignment="1" applyProtection="1">
      <alignment horizontal="left" vertical="center" wrapText="1"/>
      <protection locked="0"/>
    </xf>
    <xf numFmtId="0" fontId="29" fillId="0" borderId="0" xfId="1" applyFont="1" applyAlignment="1">
      <alignment horizontal="center" vertical="center" wrapText="1"/>
    </xf>
    <xf numFmtId="0" fontId="14" fillId="0" borderId="0" xfId="1" applyFont="1" applyAlignment="1" applyProtection="1">
      <alignment horizontal="center" vertical="center" wrapText="1"/>
      <protection locked="0"/>
    </xf>
    <xf numFmtId="0" fontId="32" fillId="0" borderId="0" xfId="4" applyFont="1" applyAlignment="1">
      <alignment horizontal="left" vertical="top" wrapText="1"/>
    </xf>
    <xf numFmtId="0" fontId="31" fillId="0" borderId="0" xfId="4" applyFont="1" applyAlignment="1">
      <alignment horizontal="left" vertical="top" wrapText="1"/>
    </xf>
    <xf numFmtId="0" fontId="12" fillId="2" borderId="7" xfId="1" applyFont="1" applyFill="1" applyBorder="1" applyAlignment="1" applyProtection="1">
      <alignment horizontal="left" vertical="center" wrapText="1"/>
      <protection locked="0"/>
    </xf>
    <xf numFmtId="0" fontId="30" fillId="0" borderId="0" xfId="4" applyFont="1" applyAlignment="1">
      <alignment horizontal="left" vertical="top" wrapText="1"/>
    </xf>
    <xf numFmtId="0" fontId="28" fillId="0" borderId="0" xfId="4" applyFont="1" applyAlignment="1">
      <alignment horizontal="left" vertical="top" wrapText="1"/>
    </xf>
  </cellXfs>
  <cellStyles count="12">
    <cellStyle name="Гиперссылка" xfId="9" builtinId="8"/>
    <cellStyle name="Обычный" xfId="0" builtinId="0"/>
    <cellStyle name="Обычный 2" xfId="1" xr:uid="{00000000-0005-0000-0000-000001000000}"/>
    <cellStyle name="Обычный 2 2" xfId="4" xr:uid="{00000000-0005-0000-0000-000002000000}"/>
    <cellStyle name="Обычный 3" xfId="10" xr:uid="{EA431DAC-A54A-4D97-99F7-F7AD0A9ECE03}"/>
    <cellStyle name="Обычный 3 2" xfId="5" xr:uid="{00000000-0005-0000-0000-000003000000}"/>
    <cellStyle name="Обычный 3 3 2" xfId="7" xr:uid="{F7F4A96E-F4E3-4EFE-B312-97AC93DE8F0A}"/>
    <cellStyle name="Обычный 4" xfId="6" xr:uid="{00000000-0005-0000-0000-000004000000}"/>
    <cellStyle name="Обычный 9 2" xfId="8" xr:uid="{F4659218-C600-4ADB-B895-9921B3E3988C}"/>
    <cellStyle name="Обычный 9 2 2" xfId="11" xr:uid="{611041D8-AAB7-4279-A07E-EA39FE73FC25}"/>
    <cellStyle name="Финансовый" xfId="3" builtinId="3"/>
    <cellStyle name="Финансовый 2" xfId="2" xr:uid="{00000000-0005-0000-0000-000006000000}"/>
  </cellStyles>
  <dxfs count="0"/>
  <tableStyles count="0" defaultTableStyle="TableStyleMedium2" defaultPivotStyle="PivotStyleLight16"/>
  <colors>
    <mruColors>
      <color rgb="FF95B3D7"/>
      <color rgb="FFD7E2EF"/>
      <color rgb="FFFF66FF"/>
      <color rgb="FFFF99FF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565739</xdr:colOff>
      <xdr:row>1</xdr:row>
      <xdr:rowOff>133350</xdr:rowOff>
    </xdr:from>
    <xdr:to>
      <xdr:col>6</xdr:col>
      <xdr:colOff>382290</xdr:colOff>
      <xdr:row>15</xdr:row>
      <xdr:rowOff>181984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6582ED4-D990-4958-A303-7F2A5598CF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5739" y="323850"/>
          <a:ext cx="3474151" cy="27156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5" Type="http://schemas.openxmlformats.org/officeDocument/2006/relationships/printerSettings" Target="../printerSettings/printerSettings8.bin"/><Relationship Id="rId4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92DF7-C550-408E-A905-D106075BC7E6}">
  <sheetPr filterMode="1">
    <outlinePr summaryBelow="0"/>
  </sheetPr>
  <dimension ref="A1:Z505"/>
  <sheetViews>
    <sheetView tabSelected="1" view="pageBreakPreview" zoomScale="70" zoomScaleNormal="85" zoomScaleSheetLayoutView="70" workbookViewId="0">
      <pane ySplit="11" topLeftCell="A113" activePane="bottomLeft" state="frozen"/>
      <selection pane="bottomLeft" activeCell="L118" sqref="L118"/>
    </sheetView>
  </sheetViews>
  <sheetFormatPr defaultColWidth="9.140625" defaultRowHeight="15" outlineLevelRow="1" x14ac:dyDescent="0.25"/>
  <cols>
    <col min="1" max="1" width="8" style="229" customWidth="1"/>
    <col min="2" max="2" width="21.28515625" style="230" customWidth="1"/>
    <col min="3" max="3" width="12.42578125" style="230" customWidth="1"/>
    <col min="4" max="4" width="67.28515625" style="231" customWidth="1"/>
    <col min="5" max="5" width="19.85546875" style="229" customWidth="1"/>
    <col min="6" max="7" width="9.5703125" style="230" customWidth="1"/>
    <col min="8" max="8" width="10" style="232" customWidth="1"/>
    <col min="9" max="9" width="12.85546875" style="232" customWidth="1"/>
    <col min="10" max="10" width="13.7109375" style="230" customWidth="1"/>
    <col min="11" max="11" width="14.28515625" style="230" customWidth="1"/>
    <col min="12" max="12" width="13.7109375" style="230" customWidth="1"/>
    <col min="13" max="13" width="19.42578125" style="230" bestFit="1" customWidth="1"/>
    <col min="14" max="14" width="19.5703125" style="230" customWidth="1"/>
    <col min="15" max="15" width="4.5703125" style="152" customWidth="1"/>
    <col min="16" max="16" width="76.7109375" style="153" customWidth="1"/>
    <col min="17" max="17" width="10" style="152" bestFit="1" customWidth="1"/>
    <col min="18" max="20" width="9.140625" style="152"/>
    <col min="21" max="21" width="3.140625" style="152" customWidth="1"/>
    <col min="22" max="22" width="5.85546875" style="152" customWidth="1"/>
    <col min="23" max="24" width="9.140625" style="152" customWidth="1"/>
    <col min="25" max="25" width="12.85546875" style="152" customWidth="1"/>
    <col min="26" max="26" width="32.5703125" style="152" customWidth="1"/>
    <col min="27" max="27" width="16.5703125" style="152" customWidth="1"/>
    <col min="28" max="16384" width="9.140625" style="152"/>
  </cols>
  <sheetData>
    <row r="1" spans="1:26" ht="15.75" x14ac:dyDescent="0.25">
      <c r="A1" s="148"/>
      <c r="B1" s="148"/>
      <c r="C1" s="148"/>
      <c r="D1" s="149"/>
      <c r="E1" s="149"/>
      <c r="F1" s="149"/>
      <c r="G1" s="149"/>
      <c r="H1" s="149"/>
      <c r="I1" s="150"/>
      <c r="J1" s="150"/>
      <c r="K1" s="150"/>
      <c r="L1" s="150"/>
      <c r="M1" s="150"/>
      <c r="N1" s="151"/>
    </row>
    <row r="2" spans="1:26" ht="15.75" x14ac:dyDescent="0.25">
      <c r="A2" s="148"/>
      <c r="B2" s="148"/>
      <c r="C2" s="148"/>
      <c r="D2" s="149"/>
      <c r="E2" s="149"/>
      <c r="F2" s="149"/>
      <c r="G2" s="149"/>
      <c r="H2" s="149"/>
      <c r="I2" s="150"/>
      <c r="J2" s="150"/>
      <c r="K2" s="150"/>
      <c r="L2" s="150"/>
      <c r="M2" s="150"/>
      <c r="N2" s="154"/>
    </row>
    <row r="3" spans="1:26" ht="15.75" x14ac:dyDescent="0.25">
      <c r="A3" s="148"/>
      <c r="B3" s="148"/>
      <c r="C3" s="148"/>
      <c r="D3" s="149"/>
      <c r="E3" s="149"/>
      <c r="F3" s="149"/>
      <c r="G3" s="149"/>
      <c r="H3" s="149"/>
      <c r="I3" s="150"/>
      <c r="J3" s="150"/>
      <c r="K3" s="150"/>
      <c r="L3" s="150"/>
      <c r="M3" s="150"/>
      <c r="N3" s="154"/>
    </row>
    <row r="4" spans="1:26" s="155" customFormat="1" ht="18.75" x14ac:dyDescent="0.25">
      <c r="A4" s="282" t="s">
        <v>88</v>
      </c>
      <c r="B4" s="282"/>
      <c r="C4" s="282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P4" s="153"/>
    </row>
    <row r="5" spans="1:26" s="155" customFormat="1" ht="15.75" x14ac:dyDescent="0.25">
      <c r="A5" s="283" t="s">
        <v>101</v>
      </c>
      <c r="B5" s="283"/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P5" s="153"/>
    </row>
    <row r="6" spans="1:26" s="155" customFormat="1" ht="15.75" x14ac:dyDescent="0.25">
      <c r="A6" s="283" t="s">
        <v>228</v>
      </c>
      <c r="B6" s="283"/>
      <c r="C6" s="283"/>
      <c r="D6" s="283"/>
      <c r="E6" s="283"/>
      <c r="F6" s="283"/>
      <c r="G6" s="283"/>
      <c r="H6" s="283"/>
      <c r="I6" s="283"/>
      <c r="J6" s="283"/>
      <c r="K6" s="283"/>
      <c r="L6" s="283"/>
      <c r="M6" s="283"/>
      <c r="N6" s="283"/>
      <c r="P6" s="153"/>
    </row>
    <row r="7" spans="1:26" s="155" customFormat="1" ht="15.75" x14ac:dyDescent="0.25">
      <c r="A7" s="156"/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P7" s="157"/>
    </row>
    <row r="8" spans="1:26" s="155" customFormat="1" ht="15.75" thickBot="1" x14ac:dyDescent="0.25">
      <c r="A8" s="158"/>
      <c r="B8" s="159"/>
      <c r="C8" s="159"/>
      <c r="D8" s="149"/>
      <c r="E8" s="159"/>
      <c r="F8" s="160"/>
      <c r="G8" s="160"/>
      <c r="H8" s="159"/>
      <c r="I8" s="159"/>
      <c r="J8" s="102"/>
      <c r="K8" s="102"/>
      <c r="L8" s="102"/>
      <c r="M8" s="149"/>
      <c r="N8" s="161"/>
      <c r="P8" s="157"/>
    </row>
    <row r="9" spans="1:26" s="155" customFormat="1" x14ac:dyDescent="0.25">
      <c r="A9" s="284" t="s">
        <v>18</v>
      </c>
      <c r="B9" s="287" t="s">
        <v>1</v>
      </c>
      <c r="C9" s="287" t="s">
        <v>69</v>
      </c>
      <c r="D9" s="290" t="s">
        <v>17</v>
      </c>
      <c r="E9" s="290" t="s">
        <v>2</v>
      </c>
      <c r="F9" s="290" t="s">
        <v>19</v>
      </c>
      <c r="G9" s="293" t="s">
        <v>20</v>
      </c>
      <c r="H9" s="296" t="s">
        <v>10</v>
      </c>
      <c r="I9" s="299" t="s">
        <v>68</v>
      </c>
      <c r="J9" s="299"/>
      <c r="K9" s="299"/>
      <c r="L9" s="299"/>
      <c r="M9" s="299"/>
      <c r="N9" s="300"/>
      <c r="P9" s="279" t="s">
        <v>177</v>
      </c>
    </row>
    <row r="10" spans="1:26" s="155" customFormat="1" x14ac:dyDescent="0.2">
      <c r="A10" s="285"/>
      <c r="B10" s="288"/>
      <c r="C10" s="288"/>
      <c r="D10" s="291"/>
      <c r="E10" s="291"/>
      <c r="F10" s="291"/>
      <c r="G10" s="294"/>
      <c r="H10" s="297"/>
      <c r="I10" s="301" t="s">
        <v>64</v>
      </c>
      <c r="J10" s="302"/>
      <c r="K10" s="303" t="s">
        <v>65</v>
      </c>
      <c r="L10" s="305" t="s">
        <v>66</v>
      </c>
      <c r="M10" s="302"/>
      <c r="N10" s="277" t="s">
        <v>67</v>
      </c>
      <c r="O10" s="149"/>
      <c r="P10" s="280"/>
    </row>
    <row r="11" spans="1:26" s="155" customFormat="1" ht="26.25" thickBot="1" x14ac:dyDescent="0.3">
      <c r="A11" s="286"/>
      <c r="B11" s="289"/>
      <c r="C11" s="289"/>
      <c r="D11" s="292"/>
      <c r="E11" s="292"/>
      <c r="F11" s="292"/>
      <c r="G11" s="295"/>
      <c r="H11" s="298"/>
      <c r="I11" s="162" t="s">
        <v>3</v>
      </c>
      <c r="J11" s="162" t="s">
        <v>63</v>
      </c>
      <c r="K11" s="304"/>
      <c r="L11" s="163" t="s">
        <v>3</v>
      </c>
      <c r="M11" s="164" t="s">
        <v>63</v>
      </c>
      <c r="N11" s="278"/>
      <c r="P11" s="280"/>
    </row>
    <row r="12" spans="1:26" s="170" customFormat="1" ht="12.75" hidden="1" x14ac:dyDescent="0.25">
      <c r="A12" s="165">
        <v>1</v>
      </c>
      <c r="B12" s="166">
        <v>2</v>
      </c>
      <c r="C12" s="166">
        <v>3</v>
      </c>
      <c r="D12" s="166">
        <v>4</v>
      </c>
      <c r="E12" s="166">
        <v>5</v>
      </c>
      <c r="F12" s="166">
        <v>6</v>
      </c>
      <c r="G12" s="167">
        <v>7</v>
      </c>
      <c r="H12" s="168">
        <v>8</v>
      </c>
      <c r="I12" s="166">
        <v>9</v>
      </c>
      <c r="J12" s="166">
        <v>10</v>
      </c>
      <c r="K12" s="166">
        <v>11</v>
      </c>
      <c r="L12" s="166">
        <v>12</v>
      </c>
      <c r="M12" s="166">
        <v>13</v>
      </c>
      <c r="N12" s="169">
        <v>14</v>
      </c>
      <c r="P12" s="281"/>
    </row>
    <row r="13" spans="1:26" s="170" customFormat="1" x14ac:dyDescent="0.25">
      <c r="A13" s="220"/>
      <c r="B13" s="221"/>
      <c r="C13" s="115"/>
      <c r="D13" s="273" t="s">
        <v>223</v>
      </c>
      <c r="E13" s="107"/>
      <c r="F13" s="107"/>
      <c r="G13" s="107"/>
      <c r="H13" s="108"/>
      <c r="I13" s="109"/>
      <c r="J13" s="110"/>
      <c r="K13" s="110"/>
      <c r="L13" s="119"/>
      <c r="M13" s="119"/>
      <c r="N13" s="119"/>
      <c r="P13" s="272"/>
    </row>
    <row r="14" spans="1:26" s="170" customFormat="1" ht="12.75" x14ac:dyDescent="0.25">
      <c r="A14" s="171">
        <v>1</v>
      </c>
      <c r="B14" s="172"/>
      <c r="C14" s="172"/>
      <c r="D14" s="173" t="s">
        <v>102</v>
      </c>
      <c r="E14" s="125"/>
      <c r="F14" s="174"/>
      <c r="G14" s="175"/>
      <c r="H14" s="128"/>
      <c r="I14" s="140"/>
      <c r="J14" s="176"/>
      <c r="K14" s="176"/>
      <c r="L14" s="176"/>
      <c r="M14" s="127"/>
      <c r="N14" s="129"/>
      <c r="P14" s="111"/>
    </row>
    <row r="15" spans="1:26" s="170" customFormat="1" ht="25.5" outlineLevel="1" x14ac:dyDescent="0.25">
      <c r="A15" s="178" t="s">
        <v>13</v>
      </c>
      <c r="B15" s="179" t="s">
        <v>129</v>
      </c>
      <c r="C15" s="179"/>
      <c r="D15" s="180" t="s">
        <v>126</v>
      </c>
      <c r="E15" s="181" t="s">
        <v>6</v>
      </c>
      <c r="F15" s="182" t="s">
        <v>127</v>
      </c>
      <c r="G15" s="183"/>
      <c r="H15" s="104">
        <v>2</v>
      </c>
      <c r="I15" s="143"/>
      <c r="J15" s="105"/>
      <c r="K15" s="184">
        <f>J15</f>
        <v>0</v>
      </c>
      <c r="L15" s="184"/>
      <c r="M15" s="112">
        <f>J15*H15</f>
        <v>0</v>
      </c>
      <c r="N15" s="130">
        <f>M15</f>
        <v>0</v>
      </c>
      <c r="P15" s="185" t="s">
        <v>211</v>
      </c>
      <c r="U15" s="186"/>
    </row>
    <row r="16" spans="1:26" s="170" customFormat="1" outlineLevel="1" x14ac:dyDescent="0.25">
      <c r="A16" s="187" t="s">
        <v>89</v>
      </c>
      <c r="B16" s="188"/>
      <c r="C16" s="189"/>
      <c r="D16" s="190" t="s">
        <v>109</v>
      </c>
      <c r="E16" s="191" t="s">
        <v>128</v>
      </c>
      <c r="F16" s="192" t="s">
        <v>59</v>
      </c>
      <c r="G16" s="193">
        <v>1</v>
      </c>
      <c r="H16" s="103">
        <v>2</v>
      </c>
      <c r="I16" s="236"/>
      <c r="J16" s="106"/>
      <c r="K16" s="194">
        <f>I16</f>
        <v>0</v>
      </c>
      <c r="L16" s="194">
        <f>I16*H16</f>
        <v>0</v>
      </c>
      <c r="M16" s="114"/>
      <c r="N16" s="131">
        <f>L16</f>
        <v>0</v>
      </c>
      <c r="P16" s="111"/>
      <c r="Z16" s="195"/>
    </row>
    <row r="17" spans="1:26" s="170" customFormat="1" outlineLevel="1" x14ac:dyDescent="0.25">
      <c r="A17" s="187" t="s">
        <v>90</v>
      </c>
      <c r="B17" s="188"/>
      <c r="C17" s="189"/>
      <c r="D17" s="190" t="s">
        <v>112</v>
      </c>
      <c r="E17" s="191" t="s">
        <v>128</v>
      </c>
      <c r="F17" s="192" t="s">
        <v>59</v>
      </c>
      <c r="G17" s="193">
        <v>1</v>
      </c>
      <c r="H17" s="103">
        <v>2</v>
      </c>
      <c r="I17" s="236"/>
      <c r="J17" s="113"/>
      <c r="K17" s="194">
        <f>I17</f>
        <v>0</v>
      </c>
      <c r="L17" s="194">
        <f>I17*H17</f>
        <v>0</v>
      </c>
      <c r="M17" s="114"/>
      <c r="N17" s="131">
        <f>L17</f>
        <v>0</v>
      </c>
      <c r="P17" s="111"/>
      <c r="Z17" s="195"/>
    </row>
    <row r="18" spans="1:26" s="170" customFormat="1" ht="12.75" outlineLevel="1" x14ac:dyDescent="0.25">
      <c r="A18" s="178" t="s">
        <v>14</v>
      </c>
      <c r="B18" s="179"/>
      <c r="C18" s="179"/>
      <c r="D18" s="180" t="s">
        <v>153</v>
      </c>
      <c r="E18" s="181" t="s">
        <v>6</v>
      </c>
      <c r="F18" s="182" t="s">
        <v>59</v>
      </c>
      <c r="G18" s="183"/>
      <c r="H18" s="104">
        <f>H20</f>
        <v>2</v>
      </c>
      <c r="I18" s="143"/>
      <c r="J18" s="237"/>
      <c r="K18" s="184">
        <f>J18</f>
        <v>0</v>
      </c>
      <c r="L18" s="184"/>
      <c r="M18" s="112">
        <f>J18*H18</f>
        <v>0</v>
      </c>
      <c r="N18" s="130">
        <f>M18</f>
        <v>0</v>
      </c>
      <c r="P18" s="185" t="s">
        <v>211</v>
      </c>
      <c r="Z18" s="195"/>
    </row>
    <row r="19" spans="1:26" s="170" customFormat="1" ht="30" outlineLevel="1" x14ac:dyDescent="0.25">
      <c r="A19" s="196" t="s">
        <v>91</v>
      </c>
      <c r="B19" s="197"/>
      <c r="C19" s="197"/>
      <c r="D19" s="198" t="s">
        <v>149</v>
      </c>
      <c r="E19" s="191" t="s">
        <v>128</v>
      </c>
      <c r="F19" s="199" t="s">
        <v>59</v>
      </c>
      <c r="G19" s="200">
        <v>1</v>
      </c>
      <c r="H19" s="138">
        <v>2</v>
      </c>
      <c r="I19" s="238"/>
      <c r="J19" s="239"/>
      <c r="K19" s="194">
        <f t="shared" ref="K19:K22" si="0">I19</f>
        <v>0</v>
      </c>
      <c r="L19" s="194">
        <f t="shared" ref="L19" si="1">I19*H19</f>
        <v>0</v>
      </c>
      <c r="M19" s="114"/>
      <c r="N19" s="131">
        <f t="shared" ref="N19" si="2">L19</f>
        <v>0</v>
      </c>
      <c r="P19" s="137"/>
      <c r="Z19" s="195"/>
    </row>
    <row r="20" spans="1:26" s="170" customFormat="1" outlineLevel="1" x14ac:dyDescent="0.25">
      <c r="A20" s="187" t="s">
        <v>96</v>
      </c>
      <c r="B20" s="188"/>
      <c r="C20" s="189"/>
      <c r="D20" s="198" t="s">
        <v>130</v>
      </c>
      <c r="E20" s="191" t="s">
        <v>128</v>
      </c>
      <c r="F20" s="192" t="s">
        <v>59</v>
      </c>
      <c r="G20" s="193">
        <v>1</v>
      </c>
      <c r="H20" s="103">
        <v>2</v>
      </c>
      <c r="I20" s="236"/>
      <c r="J20" s="113"/>
      <c r="K20" s="194">
        <f t="shared" si="0"/>
        <v>0</v>
      </c>
      <c r="L20" s="194">
        <f t="shared" ref="L20:L26" si="3">I20*H20</f>
        <v>0</v>
      </c>
      <c r="M20" s="114"/>
      <c r="N20" s="131">
        <f t="shared" ref="N20:N26" si="4">L20</f>
        <v>0</v>
      </c>
      <c r="P20" s="111"/>
      <c r="Z20" s="195"/>
    </row>
    <row r="21" spans="1:26" s="170" customFormat="1" outlineLevel="1" x14ac:dyDescent="0.25">
      <c r="A21" s="196" t="s">
        <v>97</v>
      </c>
      <c r="B21" s="202"/>
      <c r="C21" s="203"/>
      <c r="D21" s="198" t="s">
        <v>151</v>
      </c>
      <c r="E21" s="191" t="s">
        <v>128</v>
      </c>
      <c r="F21" s="192" t="s">
        <v>59</v>
      </c>
      <c r="G21" s="193">
        <v>1</v>
      </c>
      <c r="H21" s="103">
        <v>2</v>
      </c>
      <c r="I21" s="236"/>
      <c r="J21" s="133"/>
      <c r="K21" s="194">
        <f t="shared" si="0"/>
        <v>0</v>
      </c>
      <c r="L21" s="204">
        <f t="shared" si="3"/>
        <v>0</v>
      </c>
      <c r="M21" s="134"/>
      <c r="N21" s="136">
        <f t="shared" si="4"/>
        <v>0</v>
      </c>
      <c r="P21" s="132"/>
      <c r="Z21" s="195"/>
    </row>
    <row r="22" spans="1:26" s="170" customFormat="1" ht="30" outlineLevel="1" x14ac:dyDescent="0.25">
      <c r="A22" s="187" t="s">
        <v>98</v>
      </c>
      <c r="B22" s="202"/>
      <c r="C22" s="203"/>
      <c r="D22" s="198" t="s">
        <v>150</v>
      </c>
      <c r="E22" s="191" t="s">
        <v>128</v>
      </c>
      <c r="F22" s="192" t="s">
        <v>59</v>
      </c>
      <c r="G22" s="193">
        <v>1</v>
      </c>
      <c r="H22" s="103">
        <v>2</v>
      </c>
      <c r="I22" s="236"/>
      <c r="J22" s="133"/>
      <c r="K22" s="194">
        <f t="shared" si="0"/>
        <v>0</v>
      </c>
      <c r="L22" s="204">
        <f t="shared" si="3"/>
        <v>0</v>
      </c>
      <c r="M22" s="134"/>
      <c r="N22" s="136">
        <f t="shared" si="4"/>
        <v>0</v>
      </c>
      <c r="P22" s="132"/>
      <c r="Z22" s="195"/>
    </row>
    <row r="23" spans="1:26" s="170" customFormat="1" ht="12.75" outlineLevel="1" x14ac:dyDescent="0.25">
      <c r="A23" s="178" t="s">
        <v>15</v>
      </c>
      <c r="B23" s="179" t="s">
        <v>117</v>
      </c>
      <c r="C23" s="179"/>
      <c r="D23" s="180" t="s">
        <v>116</v>
      </c>
      <c r="E23" s="181" t="s">
        <v>6</v>
      </c>
      <c r="F23" s="182" t="s">
        <v>59</v>
      </c>
      <c r="G23" s="183"/>
      <c r="H23" s="104">
        <f>H24</f>
        <v>2</v>
      </c>
      <c r="I23" s="143"/>
      <c r="J23" s="105"/>
      <c r="K23" s="184">
        <f>J23</f>
        <v>0</v>
      </c>
      <c r="L23" s="184"/>
      <c r="M23" s="112">
        <f>J23*H23</f>
        <v>0</v>
      </c>
      <c r="N23" s="130">
        <f>M23</f>
        <v>0</v>
      </c>
      <c r="P23" s="185" t="s">
        <v>211</v>
      </c>
      <c r="Z23" s="195"/>
    </row>
    <row r="24" spans="1:26" s="170" customFormat="1" ht="12.75" outlineLevel="1" x14ac:dyDescent="0.25">
      <c r="A24" s="187" t="s">
        <v>156</v>
      </c>
      <c r="B24" s="188"/>
      <c r="C24" s="189"/>
      <c r="D24" s="206" t="s">
        <v>118</v>
      </c>
      <c r="E24" s="191" t="s">
        <v>128</v>
      </c>
      <c r="F24" s="192" t="s">
        <v>59</v>
      </c>
      <c r="G24" s="193">
        <v>1</v>
      </c>
      <c r="H24" s="103">
        <v>2</v>
      </c>
      <c r="I24" s="236"/>
      <c r="J24" s="113"/>
      <c r="K24" s="194">
        <f>I24</f>
        <v>0</v>
      </c>
      <c r="L24" s="194">
        <f>I24*H24</f>
        <v>0</v>
      </c>
      <c r="M24" s="114"/>
      <c r="N24" s="131">
        <f>L24</f>
        <v>0</v>
      </c>
      <c r="P24" s="132"/>
      <c r="Z24" s="195"/>
    </row>
    <row r="25" spans="1:26" s="170" customFormat="1" ht="12.75" outlineLevel="1" x14ac:dyDescent="0.25">
      <c r="A25" s="178" t="s">
        <v>16</v>
      </c>
      <c r="B25" s="179" t="s">
        <v>132</v>
      </c>
      <c r="C25" s="179"/>
      <c r="D25" s="180" t="s">
        <v>131</v>
      </c>
      <c r="E25" s="181" t="s">
        <v>6</v>
      </c>
      <c r="F25" s="182" t="s">
        <v>59</v>
      </c>
      <c r="G25" s="183"/>
      <c r="H25" s="104">
        <f>H26</f>
        <v>2</v>
      </c>
      <c r="I25" s="143"/>
      <c r="J25" s="237"/>
      <c r="K25" s="184">
        <f>J25</f>
        <v>0</v>
      </c>
      <c r="L25" s="184"/>
      <c r="M25" s="112">
        <f>J25*H25</f>
        <v>0</v>
      </c>
      <c r="N25" s="130">
        <f>M25</f>
        <v>0</v>
      </c>
      <c r="P25" s="185" t="s">
        <v>211</v>
      </c>
      <c r="Z25" s="195"/>
    </row>
    <row r="26" spans="1:26" s="170" customFormat="1" ht="30" outlineLevel="1" x14ac:dyDescent="0.25">
      <c r="A26" s="187" t="s">
        <v>157</v>
      </c>
      <c r="B26" s="188"/>
      <c r="C26" s="189" t="s">
        <v>182</v>
      </c>
      <c r="D26" s="207" t="s">
        <v>140</v>
      </c>
      <c r="E26" s="191" t="s">
        <v>128</v>
      </c>
      <c r="F26" s="192" t="s">
        <v>141</v>
      </c>
      <c r="G26" s="193">
        <v>1</v>
      </c>
      <c r="H26" s="103">
        <v>2</v>
      </c>
      <c r="I26" s="236"/>
      <c r="J26" s="113"/>
      <c r="K26" s="194">
        <f>I26</f>
        <v>0</v>
      </c>
      <c r="L26" s="194">
        <f t="shared" si="3"/>
        <v>0</v>
      </c>
      <c r="M26" s="114"/>
      <c r="N26" s="131">
        <f t="shared" si="4"/>
        <v>0</v>
      </c>
      <c r="P26" s="111"/>
      <c r="Z26" s="195"/>
    </row>
    <row r="27" spans="1:26" s="170" customFormat="1" outlineLevel="1" x14ac:dyDescent="0.25">
      <c r="A27" s="187" t="s">
        <v>158</v>
      </c>
      <c r="B27" s="188"/>
      <c r="C27" s="189"/>
      <c r="D27" s="198" t="s">
        <v>133</v>
      </c>
      <c r="E27" s="191" t="s">
        <v>128</v>
      </c>
      <c r="F27" s="192" t="s">
        <v>59</v>
      </c>
      <c r="G27" s="193">
        <v>1</v>
      </c>
      <c r="H27" s="103">
        <f>1*2</f>
        <v>2</v>
      </c>
      <c r="I27" s="135"/>
      <c r="J27" s="194"/>
      <c r="K27" s="194"/>
      <c r="L27" s="194"/>
      <c r="M27" s="114"/>
      <c r="N27" s="131"/>
      <c r="P27" s="111"/>
      <c r="Z27" s="195"/>
    </row>
    <row r="28" spans="1:26" s="170" customFormat="1" outlineLevel="1" x14ac:dyDescent="0.25">
      <c r="A28" s="187" t="s">
        <v>159</v>
      </c>
      <c r="B28" s="202"/>
      <c r="C28" s="203"/>
      <c r="D28" s="208" t="s">
        <v>142</v>
      </c>
      <c r="E28" s="191" t="s">
        <v>128</v>
      </c>
      <c r="F28" s="192" t="s">
        <v>59</v>
      </c>
      <c r="G28" s="193">
        <v>1</v>
      </c>
      <c r="H28" s="103">
        <f>2*2</f>
        <v>4</v>
      </c>
      <c r="I28" s="135"/>
      <c r="J28" s="204"/>
      <c r="K28" s="194"/>
      <c r="L28" s="194"/>
      <c r="M28" s="114"/>
      <c r="N28" s="131"/>
      <c r="P28" s="132"/>
      <c r="Z28" s="195"/>
    </row>
    <row r="29" spans="1:26" s="170" customFormat="1" outlineLevel="1" x14ac:dyDescent="0.25">
      <c r="A29" s="187" t="s">
        <v>160</v>
      </c>
      <c r="B29" s="202"/>
      <c r="C29" s="203"/>
      <c r="D29" s="208" t="s">
        <v>143</v>
      </c>
      <c r="E29" s="191" t="s">
        <v>128</v>
      </c>
      <c r="F29" s="192" t="s">
        <v>59</v>
      </c>
      <c r="G29" s="193">
        <v>1</v>
      </c>
      <c r="H29" s="103">
        <f>1*2</f>
        <v>2</v>
      </c>
      <c r="I29" s="135"/>
      <c r="J29" s="204"/>
      <c r="K29" s="194"/>
      <c r="L29" s="194"/>
      <c r="M29" s="114"/>
      <c r="N29" s="131"/>
      <c r="P29" s="132"/>
      <c r="Z29" s="195"/>
    </row>
    <row r="30" spans="1:26" s="170" customFormat="1" ht="30" outlineLevel="1" x14ac:dyDescent="0.25">
      <c r="A30" s="187" t="s">
        <v>161</v>
      </c>
      <c r="B30" s="202"/>
      <c r="C30" s="203"/>
      <c r="D30" s="209" t="s">
        <v>144</v>
      </c>
      <c r="E30" s="191" t="s">
        <v>128</v>
      </c>
      <c r="F30" s="192" t="s">
        <v>59</v>
      </c>
      <c r="G30" s="193">
        <v>1</v>
      </c>
      <c r="H30" s="103">
        <f>1*2</f>
        <v>2</v>
      </c>
      <c r="I30" s="135"/>
      <c r="J30" s="204"/>
      <c r="K30" s="194"/>
      <c r="L30" s="194"/>
      <c r="M30" s="114"/>
      <c r="N30" s="131"/>
      <c r="P30" s="132"/>
      <c r="Z30" s="195"/>
    </row>
    <row r="31" spans="1:26" s="170" customFormat="1" outlineLevel="1" x14ac:dyDescent="0.25">
      <c r="A31" s="187" t="s">
        <v>162</v>
      </c>
      <c r="B31" s="202"/>
      <c r="C31" s="203"/>
      <c r="D31" s="208" t="s">
        <v>145</v>
      </c>
      <c r="E31" s="191" t="s">
        <v>128</v>
      </c>
      <c r="F31" s="192" t="s">
        <v>59</v>
      </c>
      <c r="G31" s="193">
        <v>1</v>
      </c>
      <c r="H31" s="103">
        <f>2*2</f>
        <v>4</v>
      </c>
      <c r="I31" s="135"/>
      <c r="J31" s="204"/>
      <c r="K31" s="194"/>
      <c r="L31" s="194"/>
      <c r="M31" s="114"/>
      <c r="N31" s="131"/>
      <c r="P31" s="132"/>
      <c r="Z31" s="195"/>
    </row>
    <row r="32" spans="1:26" s="170" customFormat="1" outlineLevel="1" x14ac:dyDescent="0.25">
      <c r="A32" s="187" t="s">
        <v>163</v>
      </c>
      <c r="B32" s="202"/>
      <c r="C32" s="203"/>
      <c r="D32" s="208" t="s">
        <v>146</v>
      </c>
      <c r="E32" s="191" t="s">
        <v>128</v>
      </c>
      <c r="F32" s="192" t="s">
        <v>59</v>
      </c>
      <c r="G32" s="193">
        <v>1</v>
      </c>
      <c r="H32" s="103">
        <f>1*2</f>
        <v>2</v>
      </c>
      <c r="I32" s="135"/>
      <c r="J32" s="204"/>
      <c r="K32" s="194"/>
      <c r="L32" s="194"/>
      <c r="M32" s="114"/>
      <c r="N32" s="131"/>
      <c r="P32" s="132"/>
      <c r="Z32" s="195"/>
    </row>
    <row r="33" spans="1:26" s="170" customFormat="1" outlineLevel="1" x14ac:dyDescent="0.25">
      <c r="A33" s="187" t="s">
        <v>164</v>
      </c>
      <c r="B33" s="202"/>
      <c r="C33" s="203"/>
      <c r="D33" s="208" t="s">
        <v>147</v>
      </c>
      <c r="E33" s="191" t="s">
        <v>128</v>
      </c>
      <c r="F33" s="192" t="s">
        <v>59</v>
      </c>
      <c r="G33" s="193">
        <v>1</v>
      </c>
      <c r="H33" s="103">
        <f>1*2</f>
        <v>2</v>
      </c>
      <c r="I33" s="135"/>
      <c r="J33" s="204"/>
      <c r="K33" s="194"/>
      <c r="L33" s="194"/>
      <c r="M33" s="114"/>
      <c r="N33" s="131"/>
      <c r="P33" s="132"/>
      <c r="Z33" s="195"/>
    </row>
    <row r="34" spans="1:26" s="170" customFormat="1" ht="76.5" outlineLevel="1" x14ac:dyDescent="0.25">
      <c r="A34" s="178" t="s">
        <v>31</v>
      </c>
      <c r="B34" s="179" t="s">
        <v>134</v>
      </c>
      <c r="C34" s="179"/>
      <c r="D34" s="180" t="s">
        <v>202</v>
      </c>
      <c r="E34" s="181" t="s">
        <v>6</v>
      </c>
      <c r="F34" s="182" t="s">
        <v>124</v>
      </c>
      <c r="G34" s="183"/>
      <c r="H34" s="104">
        <f>13*4+38+30</f>
        <v>120</v>
      </c>
      <c r="I34" s="143"/>
      <c r="J34" s="237"/>
      <c r="K34" s="184">
        <f>J34</f>
        <v>0</v>
      </c>
      <c r="L34" s="184"/>
      <c r="M34" s="112">
        <f>J34*H34</f>
        <v>0</v>
      </c>
      <c r="N34" s="130">
        <f>M34</f>
        <v>0</v>
      </c>
      <c r="P34" s="185" t="s">
        <v>201</v>
      </c>
      <c r="Z34" s="195"/>
    </row>
    <row r="35" spans="1:26" s="170" customFormat="1" ht="45" outlineLevel="1" x14ac:dyDescent="0.25">
      <c r="A35" s="210" t="s">
        <v>165</v>
      </c>
      <c r="B35" s="202"/>
      <c r="C35" s="203"/>
      <c r="D35" s="208" t="s">
        <v>135</v>
      </c>
      <c r="E35" s="211" t="s">
        <v>128</v>
      </c>
      <c r="F35" s="212" t="s">
        <v>124</v>
      </c>
      <c r="G35" s="193">
        <v>1.03</v>
      </c>
      <c r="H35" s="103">
        <f>ROUND((13+13)*G35,0)</f>
        <v>27</v>
      </c>
      <c r="I35" s="236"/>
      <c r="J35" s="133"/>
      <c r="K35" s="194">
        <f t="shared" ref="K35" si="5">I35</f>
        <v>0</v>
      </c>
      <c r="L35" s="194">
        <f t="shared" ref="L35" si="6">I35*H35</f>
        <v>0</v>
      </c>
      <c r="M35" s="114"/>
      <c r="N35" s="131">
        <f t="shared" ref="N35" si="7">L35</f>
        <v>0</v>
      </c>
      <c r="P35" s="132"/>
      <c r="Z35" s="195"/>
    </row>
    <row r="36" spans="1:26" s="170" customFormat="1" ht="45" outlineLevel="1" x14ac:dyDescent="0.25">
      <c r="A36" s="210" t="s">
        <v>166</v>
      </c>
      <c r="B36" s="202"/>
      <c r="C36" s="203"/>
      <c r="D36" s="208" t="s">
        <v>136</v>
      </c>
      <c r="E36" s="211" t="s">
        <v>128</v>
      </c>
      <c r="F36" s="212" t="s">
        <v>124</v>
      </c>
      <c r="G36" s="193">
        <v>1.03</v>
      </c>
      <c r="H36" s="103">
        <f>ROUND((38+30)*G36,0)</f>
        <v>70</v>
      </c>
      <c r="I36" s="236"/>
      <c r="J36" s="133"/>
      <c r="K36" s="194">
        <f t="shared" ref="K36:K37" si="8">I36</f>
        <v>0</v>
      </c>
      <c r="L36" s="194">
        <f t="shared" ref="L36:L37" si="9">I36*H36</f>
        <v>0</v>
      </c>
      <c r="M36" s="114"/>
      <c r="N36" s="131">
        <f t="shared" ref="N36:N37" si="10">L36</f>
        <v>0</v>
      </c>
      <c r="P36" s="132"/>
      <c r="Z36" s="195"/>
    </row>
    <row r="37" spans="1:26" s="170" customFormat="1" ht="45" outlineLevel="1" x14ac:dyDescent="0.25">
      <c r="A37" s="210" t="s">
        <v>167</v>
      </c>
      <c r="B37" s="202"/>
      <c r="C37" s="203"/>
      <c r="D37" s="208" t="s">
        <v>138</v>
      </c>
      <c r="E37" s="211" t="s">
        <v>128</v>
      </c>
      <c r="F37" s="212" t="s">
        <v>124</v>
      </c>
      <c r="G37" s="193">
        <v>1.03</v>
      </c>
      <c r="H37" s="103">
        <f>ROUND((13+13)*G37,0)</f>
        <v>27</v>
      </c>
      <c r="I37" s="236"/>
      <c r="J37" s="133"/>
      <c r="K37" s="194">
        <f t="shared" si="8"/>
        <v>0</v>
      </c>
      <c r="L37" s="194">
        <f t="shared" si="9"/>
        <v>0</v>
      </c>
      <c r="M37" s="114"/>
      <c r="N37" s="131">
        <f t="shared" si="10"/>
        <v>0</v>
      </c>
      <c r="P37" s="132"/>
      <c r="Z37" s="195"/>
    </row>
    <row r="38" spans="1:26" s="170" customFormat="1" ht="76.5" outlineLevel="1" x14ac:dyDescent="0.25">
      <c r="A38" s="178" t="s">
        <v>32</v>
      </c>
      <c r="B38" s="179" t="s">
        <v>134</v>
      </c>
      <c r="C38" s="179"/>
      <c r="D38" s="180" t="s">
        <v>213</v>
      </c>
      <c r="E38" s="181" t="s">
        <v>6</v>
      </c>
      <c r="F38" s="182" t="s">
        <v>124</v>
      </c>
      <c r="G38" s="183"/>
      <c r="H38" s="104">
        <f>36*4+213*11</f>
        <v>2487</v>
      </c>
      <c r="I38" s="143"/>
      <c r="J38" s="237"/>
      <c r="K38" s="184">
        <f>J38</f>
        <v>0</v>
      </c>
      <c r="L38" s="184"/>
      <c r="M38" s="112">
        <f>J38*H38</f>
        <v>0</v>
      </c>
      <c r="N38" s="130">
        <f>M38</f>
        <v>0</v>
      </c>
      <c r="P38" s="185" t="s">
        <v>201</v>
      </c>
      <c r="Z38" s="195"/>
    </row>
    <row r="39" spans="1:26" s="170" customFormat="1" ht="45" outlineLevel="1" x14ac:dyDescent="0.25">
      <c r="A39" s="210" t="s">
        <v>170</v>
      </c>
      <c r="B39" s="202"/>
      <c r="C39" s="203"/>
      <c r="D39" s="208" t="s">
        <v>135</v>
      </c>
      <c r="E39" s="211" t="s">
        <v>128</v>
      </c>
      <c r="F39" s="212" t="s">
        <v>124</v>
      </c>
      <c r="G39" s="193">
        <v>1.03</v>
      </c>
      <c r="H39" s="103">
        <f>ROUND((36*2+213*11)*G39,0)</f>
        <v>2487</v>
      </c>
      <c r="I39" s="236"/>
      <c r="J39" s="133"/>
      <c r="K39" s="194">
        <f t="shared" ref="K39:K40" si="11">I39</f>
        <v>0</v>
      </c>
      <c r="L39" s="194">
        <f t="shared" ref="L39:L40" si="12">I39*H39</f>
        <v>0</v>
      </c>
      <c r="M39" s="114"/>
      <c r="N39" s="131">
        <f t="shared" ref="N39:N40" si="13">L39</f>
        <v>0</v>
      </c>
      <c r="P39" s="132"/>
      <c r="Z39" s="195"/>
    </row>
    <row r="40" spans="1:26" s="170" customFormat="1" ht="45" outlineLevel="1" x14ac:dyDescent="0.25">
      <c r="A40" s="210" t="s">
        <v>203</v>
      </c>
      <c r="B40" s="202"/>
      <c r="C40" s="203"/>
      <c r="D40" s="208" t="s">
        <v>138</v>
      </c>
      <c r="E40" s="211" t="s">
        <v>128</v>
      </c>
      <c r="F40" s="212" t="s">
        <v>124</v>
      </c>
      <c r="G40" s="193">
        <v>1.03</v>
      </c>
      <c r="H40" s="103">
        <f>ROUND((36+36)*G40,0)</f>
        <v>74</v>
      </c>
      <c r="I40" s="236"/>
      <c r="J40" s="133"/>
      <c r="K40" s="194">
        <f t="shared" si="11"/>
        <v>0</v>
      </c>
      <c r="L40" s="194">
        <f t="shared" si="12"/>
        <v>0</v>
      </c>
      <c r="M40" s="114"/>
      <c r="N40" s="131">
        <f t="shared" si="13"/>
        <v>0</v>
      </c>
      <c r="P40" s="132"/>
      <c r="Z40" s="195"/>
    </row>
    <row r="41" spans="1:26" s="170" customFormat="1" outlineLevel="1" x14ac:dyDescent="0.25">
      <c r="A41" s="210" t="s">
        <v>204</v>
      </c>
      <c r="B41" s="202"/>
      <c r="C41" s="203"/>
      <c r="D41" s="208" t="s">
        <v>139</v>
      </c>
      <c r="E41" s="211" t="s">
        <v>128</v>
      </c>
      <c r="F41" s="212" t="s">
        <v>124</v>
      </c>
      <c r="G41" s="193">
        <v>1.1000000000000001</v>
      </c>
      <c r="H41" s="103">
        <f>ROUND((36*4+213*11)*G41,0)</f>
        <v>2736</v>
      </c>
      <c r="I41" s="236"/>
      <c r="J41" s="133"/>
      <c r="K41" s="194">
        <f>I41</f>
        <v>0</v>
      </c>
      <c r="L41" s="194">
        <f>I41*H41</f>
        <v>0</v>
      </c>
      <c r="M41" s="114"/>
      <c r="N41" s="131">
        <f>L41</f>
        <v>0</v>
      </c>
      <c r="P41" s="132"/>
      <c r="Z41" s="195"/>
    </row>
    <row r="42" spans="1:26" s="170" customFormat="1" outlineLevel="1" x14ac:dyDescent="0.25">
      <c r="A42" s="210" t="s">
        <v>207</v>
      </c>
      <c r="B42" s="202"/>
      <c r="C42" s="203"/>
      <c r="D42" s="213" t="s">
        <v>152</v>
      </c>
      <c r="E42" s="211" t="s">
        <v>128</v>
      </c>
      <c r="F42" s="212" t="s">
        <v>59</v>
      </c>
      <c r="G42" s="193">
        <v>1</v>
      </c>
      <c r="H42" s="103">
        <v>22</v>
      </c>
      <c r="I42" s="236"/>
      <c r="J42" s="133"/>
      <c r="K42" s="194">
        <f t="shared" ref="K42" si="14">I42</f>
        <v>0</v>
      </c>
      <c r="L42" s="194">
        <f t="shared" ref="L42" si="15">I42*H42</f>
        <v>0</v>
      </c>
      <c r="M42" s="114"/>
      <c r="N42" s="131">
        <f t="shared" ref="N42" si="16">L42</f>
        <v>0</v>
      </c>
      <c r="P42" s="132"/>
      <c r="Z42" s="195"/>
    </row>
    <row r="43" spans="1:26" s="170" customFormat="1" ht="76.5" outlineLevel="1" x14ac:dyDescent="0.25">
      <c r="A43" s="214" t="s">
        <v>33</v>
      </c>
      <c r="B43" s="215" t="s">
        <v>205</v>
      </c>
      <c r="C43" s="215"/>
      <c r="D43" s="216" t="s">
        <v>206</v>
      </c>
      <c r="E43" s="181" t="s">
        <v>6</v>
      </c>
      <c r="F43" s="217" t="s">
        <v>124</v>
      </c>
      <c r="G43" s="183"/>
      <c r="H43" s="104">
        <f>6*4+72*2</f>
        <v>168</v>
      </c>
      <c r="I43" s="143"/>
      <c r="J43" s="144"/>
      <c r="K43" s="145">
        <f>J43</f>
        <v>0</v>
      </c>
      <c r="L43" s="145"/>
      <c r="M43" s="146">
        <f>J43*H43</f>
        <v>0</v>
      </c>
      <c r="N43" s="147">
        <f>M43</f>
        <v>0</v>
      </c>
      <c r="P43" s="185" t="s">
        <v>201</v>
      </c>
      <c r="Z43" s="195"/>
    </row>
    <row r="44" spans="1:26" s="170" customFormat="1" ht="45" outlineLevel="1" x14ac:dyDescent="0.25">
      <c r="A44" s="210" t="s">
        <v>208</v>
      </c>
      <c r="B44" s="202"/>
      <c r="C44" s="203"/>
      <c r="D44" s="208" t="s">
        <v>135</v>
      </c>
      <c r="E44" s="211" t="s">
        <v>128</v>
      </c>
      <c r="F44" s="212" t="s">
        <v>124</v>
      </c>
      <c r="G44" s="193">
        <v>1.03</v>
      </c>
      <c r="H44" s="103">
        <f>ROUND(12*G44,0)</f>
        <v>12</v>
      </c>
      <c r="I44" s="236"/>
      <c r="J44" s="133"/>
      <c r="K44" s="194">
        <f t="shared" ref="K44:K46" si="17">I44</f>
        <v>0</v>
      </c>
      <c r="L44" s="194">
        <f t="shared" ref="L44:L46" si="18">I44*H44</f>
        <v>0</v>
      </c>
      <c r="M44" s="114"/>
      <c r="N44" s="131">
        <f t="shared" ref="N44:N46" si="19">L44</f>
        <v>0</v>
      </c>
      <c r="P44" s="132"/>
      <c r="Z44" s="195"/>
    </row>
    <row r="45" spans="1:26" s="170" customFormat="1" ht="45" outlineLevel="1" x14ac:dyDescent="0.25">
      <c r="A45" s="210" t="s">
        <v>209</v>
      </c>
      <c r="B45" s="202"/>
      <c r="C45" s="203"/>
      <c r="D45" s="208" t="s">
        <v>138</v>
      </c>
      <c r="E45" s="211" t="s">
        <v>128</v>
      </c>
      <c r="F45" s="212" t="s">
        <v>124</v>
      </c>
      <c r="G45" s="193">
        <v>1.03</v>
      </c>
      <c r="H45" s="103">
        <f>ROUND(12*G45,0)</f>
        <v>12</v>
      </c>
      <c r="I45" s="236"/>
      <c r="J45" s="133"/>
      <c r="K45" s="194">
        <f t="shared" si="17"/>
        <v>0</v>
      </c>
      <c r="L45" s="194">
        <f t="shared" si="18"/>
        <v>0</v>
      </c>
      <c r="M45" s="114"/>
      <c r="N45" s="131">
        <f t="shared" si="19"/>
        <v>0</v>
      </c>
      <c r="P45" s="132"/>
      <c r="Z45" s="195"/>
    </row>
    <row r="46" spans="1:26" s="170" customFormat="1" ht="45" outlineLevel="1" x14ac:dyDescent="0.25">
      <c r="A46" s="210" t="s">
        <v>210</v>
      </c>
      <c r="B46" s="202"/>
      <c r="C46" s="203"/>
      <c r="D46" s="208" t="s">
        <v>136</v>
      </c>
      <c r="E46" s="211" t="s">
        <v>128</v>
      </c>
      <c r="F46" s="212" t="s">
        <v>124</v>
      </c>
      <c r="G46" s="193">
        <v>1.03</v>
      </c>
      <c r="H46" s="103">
        <f>ROUND((72+72)*G46,0)</f>
        <v>148</v>
      </c>
      <c r="I46" s="236"/>
      <c r="J46" s="133"/>
      <c r="K46" s="194">
        <f t="shared" si="17"/>
        <v>0</v>
      </c>
      <c r="L46" s="194">
        <f t="shared" si="18"/>
        <v>0</v>
      </c>
      <c r="M46" s="114"/>
      <c r="N46" s="131">
        <f t="shared" si="19"/>
        <v>0</v>
      </c>
      <c r="P46" s="132"/>
      <c r="Z46" s="195"/>
    </row>
    <row r="47" spans="1:26" s="170" customFormat="1" ht="12.75" outlineLevel="1" x14ac:dyDescent="0.25">
      <c r="A47" s="178" t="s">
        <v>34</v>
      </c>
      <c r="B47" s="179"/>
      <c r="C47" s="179"/>
      <c r="D47" s="180" t="s">
        <v>225</v>
      </c>
      <c r="E47" s="181" t="s">
        <v>6</v>
      </c>
      <c r="F47" s="182" t="s">
        <v>59</v>
      </c>
      <c r="G47" s="183"/>
      <c r="H47" s="104">
        <f>H48</f>
        <v>262</v>
      </c>
      <c r="I47" s="143"/>
      <c r="J47" s="237"/>
      <c r="K47" s="184">
        <f>J47</f>
        <v>0</v>
      </c>
      <c r="L47" s="184"/>
      <c r="M47" s="112">
        <f>J47*H47</f>
        <v>0</v>
      </c>
      <c r="N47" s="130">
        <f>M47</f>
        <v>0</v>
      </c>
      <c r="P47" s="185" t="s">
        <v>211</v>
      </c>
      <c r="Z47" s="195"/>
    </row>
    <row r="48" spans="1:26" s="170" customFormat="1" outlineLevel="1" x14ac:dyDescent="0.25">
      <c r="A48" s="187" t="s">
        <v>212</v>
      </c>
      <c r="B48" s="188"/>
      <c r="C48" s="189"/>
      <c r="D48" s="207" t="s">
        <v>148</v>
      </c>
      <c r="E48" s="191" t="s">
        <v>128</v>
      </c>
      <c r="F48" s="192" t="s">
        <v>59</v>
      </c>
      <c r="G48" s="193">
        <v>1</v>
      </c>
      <c r="H48" s="103">
        <f>131*2</f>
        <v>262</v>
      </c>
      <c r="I48" s="236"/>
      <c r="J48" s="113"/>
      <c r="K48" s="194">
        <f>I48</f>
        <v>0</v>
      </c>
      <c r="L48" s="194">
        <f>I48*H48</f>
        <v>0</v>
      </c>
      <c r="M48" s="114"/>
      <c r="N48" s="131">
        <f>L48</f>
        <v>0</v>
      </c>
      <c r="P48" s="132"/>
      <c r="Z48" s="195"/>
    </row>
    <row r="49" spans="1:26" s="170" customFormat="1" ht="12.75" x14ac:dyDescent="0.25">
      <c r="A49" s="171">
        <v>2</v>
      </c>
      <c r="B49" s="172"/>
      <c r="C49" s="172"/>
      <c r="D49" s="173" t="s">
        <v>103</v>
      </c>
      <c r="E49" s="125"/>
      <c r="F49" s="174"/>
      <c r="G49" s="175"/>
      <c r="H49" s="128"/>
      <c r="I49" s="240"/>
      <c r="J49" s="126"/>
      <c r="K49" s="176"/>
      <c r="L49" s="176"/>
      <c r="M49" s="127"/>
      <c r="N49" s="129"/>
      <c r="P49" s="111"/>
    </row>
    <row r="50" spans="1:26" s="170" customFormat="1" ht="12.75" outlineLevel="1" x14ac:dyDescent="0.25">
      <c r="A50" s="178" t="s">
        <v>70</v>
      </c>
      <c r="B50" s="179" t="s">
        <v>104</v>
      </c>
      <c r="C50" s="179"/>
      <c r="D50" s="180" t="s">
        <v>105</v>
      </c>
      <c r="E50" s="181" t="s">
        <v>6</v>
      </c>
      <c r="F50" s="182" t="s">
        <v>59</v>
      </c>
      <c r="G50" s="183"/>
      <c r="H50" s="104">
        <f>H51</f>
        <v>5</v>
      </c>
      <c r="I50" s="143"/>
      <c r="J50" s="105"/>
      <c r="K50" s="184">
        <f>J50</f>
        <v>0</v>
      </c>
      <c r="L50" s="184"/>
      <c r="M50" s="112">
        <f>J50*H50</f>
        <v>0</v>
      </c>
      <c r="N50" s="130">
        <f>M50</f>
        <v>0</v>
      </c>
      <c r="P50" s="185" t="s">
        <v>211</v>
      </c>
      <c r="Z50" s="195"/>
    </row>
    <row r="51" spans="1:26" s="170" customFormat="1" outlineLevel="1" x14ac:dyDescent="0.25">
      <c r="A51" s="187" t="s">
        <v>92</v>
      </c>
      <c r="B51" s="188"/>
      <c r="C51" s="189"/>
      <c r="D51" s="207" t="s">
        <v>106</v>
      </c>
      <c r="E51" s="191" t="s">
        <v>128</v>
      </c>
      <c r="F51" s="192" t="s">
        <v>59</v>
      </c>
      <c r="G51" s="193">
        <v>1</v>
      </c>
      <c r="H51" s="103">
        <v>5</v>
      </c>
      <c r="I51" s="236"/>
      <c r="J51" s="113"/>
      <c r="K51" s="194">
        <f t="shared" ref="K51" si="20">I51</f>
        <v>0</v>
      </c>
      <c r="L51" s="194">
        <f t="shared" ref="L51" si="21">I51*H51</f>
        <v>0</v>
      </c>
      <c r="M51" s="114"/>
      <c r="N51" s="131">
        <f t="shared" ref="N51" si="22">L51</f>
        <v>0</v>
      </c>
      <c r="P51" s="111"/>
      <c r="Z51" s="195"/>
    </row>
    <row r="52" spans="1:26" s="170" customFormat="1" ht="12.75" outlineLevel="1" x14ac:dyDescent="0.25">
      <c r="A52" s="178" t="s">
        <v>71</v>
      </c>
      <c r="B52" s="179" t="s">
        <v>107</v>
      </c>
      <c r="C52" s="179"/>
      <c r="D52" s="180" t="s">
        <v>108</v>
      </c>
      <c r="E52" s="181" t="s">
        <v>6</v>
      </c>
      <c r="F52" s="182" t="s">
        <v>59</v>
      </c>
      <c r="G52" s="183"/>
      <c r="H52" s="104">
        <f>H53</f>
        <v>3</v>
      </c>
      <c r="I52" s="143"/>
      <c r="J52" s="105"/>
      <c r="K52" s="184">
        <f>J52</f>
        <v>0</v>
      </c>
      <c r="L52" s="184"/>
      <c r="M52" s="112">
        <f>J52*H52</f>
        <v>0</v>
      </c>
      <c r="N52" s="130">
        <f>M52</f>
        <v>0</v>
      </c>
      <c r="P52" s="185" t="s">
        <v>211</v>
      </c>
      <c r="Z52" s="195"/>
    </row>
    <row r="53" spans="1:26" s="170" customFormat="1" outlineLevel="1" x14ac:dyDescent="0.25">
      <c r="A53" s="187" t="s">
        <v>93</v>
      </c>
      <c r="B53" s="188"/>
      <c r="C53" s="189"/>
      <c r="D53" s="207" t="s">
        <v>109</v>
      </c>
      <c r="E53" s="191" t="s">
        <v>128</v>
      </c>
      <c r="F53" s="192" t="s">
        <v>59</v>
      </c>
      <c r="G53" s="193">
        <v>1</v>
      </c>
      <c r="H53" s="103">
        <v>3</v>
      </c>
      <c r="I53" s="236"/>
      <c r="J53" s="113"/>
      <c r="K53" s="194">
        <f>I53</f>
        <v>0</v>
      </c>
      <c r="L53" s="194">
        <f>I53*H53</f>
        <v>0</v>
      </c>
      <c r="M53" s="114"/>
      <c r="N53" s="131">
        <f>L53</f>
        <v>0</v>
      </c>
      <c r="P53" s="111"/>
      <c r="Z53" s="195"/>
    </row>
    <row r="54" spans="1:26" s="170" customFormat="1" ht="12.75" outlineLevel="1" x14ac:dyDescent="0.25">
      <c r="A54" s="178" t="s">
        <v>72</v>
      </c>
      <c r="B54" s="179" t="s">
        <v>111</v>
      </c>
      <c r="C54" s="179"/>
      <c r="D54" s="180" t="s">
        <v>110</v>
      </c>
      <c r="E54" s="181" t="s">
        <v>6</v>
      </c>
      <c r="F54" s="182" t="s">
        <v>59</v>
      </c>
      <c r="G54" s="183"/>
      <c r="H54" s="104">
        <f>H55</f>
        <v>4</v>
      </c>
      <c r="I54" s="143"/>
      <c r="J54" s="105"/>
      <c r="K54" s="184">
        <f>J54</f>
        <v>0</v>
      </c>
      <c r="L54" s="184"/>
      <c r="M54" s="112">
        <f>J54*H54</f>
        <v>0</v>
      </c>
      <c r="N54" s="130">
        <f>M54</f>
        <v>0</v>
      </c>
      <c r="P54" s="185" t="s">
        <v>211</v>
      </c>
      <c r="Z54" s="195"/>
    </row>
    <row r="55" spans="1:26" s="170" customFormat="1" outlineLevel="1" x14ac:dyDescent="0.25">
      <c r="A55" s="187" t="s">
        <v>94</v>
      </c>
      <c r="B55" s="188"/>
      <c r="C55" s="189"/>
      <c r="D55" s="207" t="s">
        <v>112</v>
      </c>
      <c r="E55" s="191" t="s">
        <v>128</v>
      </c>
      <c r="F55" s="192" t="s">
        <v>59</v>
      </c>
      <c r="G55" s="193">
        <v>1</v>
      </c>
      <c r="H55" s="103">
        <v>4</v>
      </c>
      <c r="I55" s="236"/>
      <c r="J55" s="113"/>
      <c r="K55" s="194">
        <f t="shared" ref="K55" si="23">I55</f>
        <v>0</v>
      </c>
      <c r="L55" s="194">
        <f t="shared" ref="L55" si="24">I55*H55</f>
        <v>0</v>
      </c>
      <c r="M55" s="114"/>
      <c r="N55" s="131">
        <f t="shared" ref="N55" si="25">L55</f>
        <v>0</v>
      </c>
      <c r="P55" s="111"/>
      <c r="Z55" s="195"/>
    </row>
    <row r="56" spans="1:26" s="170" customFormat="1" ht="12.75" outlineLevel="1" x14ac:dyDescent="0.25">
      <c r="A56" s="178" t="s">
        <v>73</v>
      </c>
      <c r="B56" s="179" t="s">
        <v>114</v>
      </c>
      <c r="C56" s="179"/>
      <c r="D56" s="180" t="s">
        <v>113</v>
      </c>
      <c r="E56" s="181" t="s">
        <v>6</v>
      </c>
      <c r="F56" s="182" t="s">
        <v>59</v>
      </c>
      <c r="G56" s="183"/>
      <c r="H56" s="104">
        <f>H57</f>
        <v>4</v>
      </c>
      <c r="I56" s="143"/>
      <c r="J56" s="105"/>
      <c r="K56" s="184">
        <f>J56</f>
        <v>0</v>
      </c>
      <c r="L56" s="184"/>
      <c r="M56" s="112">
        <f>J56*H56</f>
        <v>0</v>
      </c>
      <c r="N56" s="130">
        <f>M56</f>
        <v>0</v>
      </c>
      <c r="P56" s="185" t="s">
        <v>211</v>
      </c>
      <c r="Z56" s="195"/>
    </row>
    <row r="57" spans="1:26" s="170" customFormat="1" ht="51" outlineLevel="1" x14ac:dyDescent="0.25">
      <c r="A57" s="187" t="s">
        <v>95</v>
      </c>
      <c r="B57" s="188"/>
      <c r="C57" s="189" t="s">
        <v>155</v>
      </c>
      <c r="D57" s="206" t="s">
        <v>115</v>
      </c>
      <c r="E57" s="191" t="s">
        <v>128</v>
      </c>
      <c r="F57" s="192" t="s">
        <v>59</v>
      </c>
      <c r="G57" s="193">
        <v>1</v>
      </c>
      <c r="H57" s="103">
        <v>4</v>
      </c>
      <c r="I57" s="236"/>
      <c r="J57" s="113"/>
      <c r="K57" s="194">
        <f>I57</f>
        <v>0</v>
      </c>
      <c r="L57" s="194">
        <f>I57*H57</f>
        <v>0</v>
      </c>
      <c r="M57" s="114"/>
      <c r="N57" s="131">
        <f>L57</f>
        <v>0</v>
      </c>
      <c r="P57" s="111"/>
      <c r="Z57" s="195"/>
    </row>
    <row r="58" spans="1:26" s="170" customFormat="1" ht="12.75" outlineLevel="1" x14ac:dyDescent="0.25">
      <c r="A58" s="178" t="s">
        <v>99</v>
      </c>
      <c r="B58" s="179" t="s">
        <v>117</v>
      </c>
      <c r="C58" s="179"/>
      <c r="D58" s="180" t="s">
        <v>116</v>
      </c>
      <c r="E58" s="181" t="s">
        <v>6</v>
      </c>
      <c r="F58" s="182" t="s">
        <v>59</v>
      </c>
      <c r="G58" s="183"/>
      <c r="H58" s="104">
        <f>H59</f>
        <v>4</v>
      </c>
      <c r="I58" s="143"/>
      <c r="J58" s="105"/>
      <c r="K58" s="184">
        <f>J58</f>
        <v>0</v>
      </c>
      <c r="L58" s="184"/>
      <c r="M58" s="112">
        <f>J58*H58</f>
        <v>0</v>
      </c>
      <c r="N58" s="130">
        <f>M58</f>
        <v>0</v>
      </c>
      <c r="P58" s="185" t="s">
        <v>211</v>
      </c>
      <c r="Z58" s="195"/>
    </row>
    <row r="59" spans="1:26" s="170" customFormat="1" ht="12.75" outlineLevel="1" x14ac:dyDescent="0.25">
      <c r="A59" s="187" t="s">
        <v>100</v>
      </c>
      <c r="B59" s="188"/>
      <c r="C59" s="189"/>
      <c r="D59" s="206" t="s">
        <v>118</v>
      </c>
      <c r="E59" s="191" t="s">
        <v>128</v>
      </c>
      <c r="F59" s="192" t="s">
        <v>59</v>
      </c>
      <c r="G59" s="193">
        <v>1</v>
      </c>
      <c r="H59" s="103">
        <v>4</v>
      </c>
      <c r="I59" s="236"/>
      <c r="J59" s="113"/>
      <c r="K59" s="194">
        <f>I59</f>
        <v>0</v>
      </c>
      <c r="L59" s="194">
        <f>I59*H59</f>
        <v>0</v>
      </c>
      <c r="M59" s="114"/>
      <c r="N59" s="131">
        <f>L59</f>
        <v>0</v>
      </c>
      <c r="P59" s="132"/>
      <c r="Z59" s="195"/>
    </row>
    <row r="60" spans="1:26" s="170" customFormat="1" ht="12.75" outlineLevel="1" x14ac:dyDescent="0.25">
      <c r="A60" s="178" t="s">
        <v>171</v>
      </c>
      <c r="B60" s="179" t="s">
        <v>119</v>
      </c>
      <c r="C60" s="179"/>
      <c r="D60" s="180" t="s">
        <v>120</v>
      </c>
      <c r="E60" s="181" t="s">
        <v>6</v>
      </c>
      <c r="F60" s="182" t="s">
        <v>59</v>
      </c>
      <c r="G60" s="183"/>
      <c r="H60" s="104">
        <f>H61</f>
        <v>4</v>
      </c>
      <c r="I60" s="143"/>
      <c r="J60" s="105"/>
      <c r="K60" s="184">
        <f>J60</f>
        <v>0</v>
      </c>
      <c r="L60" s="184"/>
      <c r="M60" s="112">
        <f>J60*H60</f>
        <v>0</v>
      </c>
      <c r="N60" s="130">
        <f>M60</f>
        <v>0</v>
      </c>
      <c r="P60" s="185" t="s">
        <v>211</v>
      </c>
      <c r="Z60" s="195"/>
    </row>
    <row r="61" spans="1:26" s="170" customFormat="1" ht="12.75" outlineLevel="1" x14ac:dyDescent="0.25">
      <c r="A61" s="187" t="s">
        <v>172</v>
      </c>
      <c r="B61" s="188"/>
      <c r="C61" s="189"/>
      <c r="D61" s="206" t="s">
        <v>121</v>
      </c>
      <c r="E61" s="191" t="s">
        <v>128</v>
      </c>
      <c r="F61" s="192" t="s">
        <v>59</v>
      </c>
      <c r="G61" s="193">
        <v>1</v>
      </c>
      <c r="H61" s="103">
        <v>4</v>
      </c>
      <c r="I61" s="236"/>
      <c r="J61" s="113"/>
      <c r="K61" s="194">
        <f>I61</f>
        <v>0</v>
      </c>
      <c r="L61" s="194">
        <f>I61*H61</f>
        <v>0</v>
      </c>
      <c r="M61" s="114"/>
      <c r="N61" s="131">
        <f>L61</f>
        <v>0</v>
      </c>
      <c r="P61" s="132"/>
      <c r="Z61" s="195"/>
    </row>
    <row r="62" spans="1:26" s="170" customFormat="1" ht="76.5" outlineLevel="1" x14ac:dyDescent="0.25">
      <c r="A62" s="178" t="s">
        <v>173</v>
      </c>
      <c r="B62" s="179" t="s">
        <v>122</v>
      </c>
      <c r="C62" s="179"/>
      <c r="D62" s="180" t="s">
        <v>202</v>
      </c>
      <c r="E62" s="181" t="s">
        <v>6</v>
      </c>
      <c r="F62" s="182" t="s">
        <v>124</v>
      </c>
      <c r="G62" s="183"/>
      <c r="H62" s="104">
        <f>40+33+19*2+2+9+4+16</f>
        <v>142</v>
      </c>
      <c r="I62" s="143"/>
      <c r="J62" s="105"/>
      <c r="K62" s="184">
        <f>J62</f>
        <v>0</v>
      </c>
      <c r="L62" s="184"/>
      <c r="M62" s="112">
        <f>J62*H62</f>
        <v>0</v>
      </c>
      <c r="N62" s="130">
        <f>M62</f>
        <v>0</v>
      </c>
      <c r="P62" s="201" t="s">
        <v>201</v>
      </c>
      <c r="Z62" s="195"/>
    </row>
    <row r="63" spans="1:26" s="170" customFormat="1" ht="38.25" outlineLevel="1" x14ac:dyDescent="0.25">
      <c r="A63" s="218" t="s">
        <v>174</v>
      </c>
      <c r="B63" s="202"/>
      <c r="C63" s="203"/>
      <c r="D63" s="219" t="s">
        <v>123</v>
      </c>
      <c r="E63" s="191" t="s">
        <v>128</v>
      </c>
      <c r="F63" s="212" t="s">
        <v>124</v>
      </c>
      <c r="G63" s="193">
        <v>1.03</v>
      </c>
      <c r="H63" s="103">
        <f>ROUND((40+33+19+19+4+16)*G63,0)</f>
        <v>135</v>
      </c>
      <c r="I63" s="236"/>
      <c r="J63" s="133"/>
      <c r="K63" s="194">
        <f>I63</f>
        <v>0</v>
      </c>
      <c r="L63" s="194">
        <f>I63*H63</f>
        <v>0</v>
      </c>
      <c r="M63" s="114"/>
      <c r="N63" s="131">
        <f>L63</f>
        <v>0</v>
      </c>
      <c r="P63" s="132"/>
      <c r="Z63" s="195"/>
    </row>
    <row r="64" spans="1:26" s="170" customFormat="1" ht="38.25" outlineLevel="1" x14ac:dyDescent="0.25">
      <c r="A64" s="218" t="s">
        <v>176</v>
      </c>
      <c r="B64" s="202"/>
      <c r="C64" s="203"/>
      <c r="D64" s="219" t="s">
        <v>137</v>
      </c>
      <c r="E64" s="191" t="s">
        <v>128</v>
      </c>
      <c r="F64" s="212" t="s">
        <v>124</v>
      </c>
      <c r="G64" s="193">
        <v>1.03</v>
      </c>
      <c r="H64" s="103">
        <f>ROUND((2+9)*G64,0)</f>
        <v>11</v>
      </c>
      <c r="I64" s="236"/>
      <c r="J64" s="133"/>
      <c r="K64" s="194">
        <f t="shared" ref="K64" si="26">I64</f>
        <v>0</v>
      </c>
      <c r="L64" s="194">
        <f t="shared" ref="L64" si="27">I64*H64</f>
        <v>0</v>
      </c>
      <c r="M64" s="114"/>
      <c r="N64" s="131">
        <f t="shared" ref="N64" si="28">L64</f>
        <v>0</v>
      </c>
      <c r="P64" s="132"/>
      <c r="Z64" s="195"/>
    </row>
    <row r="65" spans="1:26" s="170" customFormat="1" ht="76.5" outlineLevel="1" x14ac:dyDescent="0.25">
      <c r="A65" s="178" t="s">
        <v>173</v>
      </c>
      <c r="B65" s="179" t="s">
        <v>122</v>
      </c>
      <c r="C65" s="179"/>
      <c r="D65" s="180" t="s">
        <v>213</v>
      </c>
      <c r="E65" s="181" t="s">
        <v>6</v>
      </c>
      <c r="F65" s="182" t="s">
        <v>124</v>
      </c>
      <c r="G65" s="183"/>
      <c r="H65" s="104">
        <v>152</v>
      </c>
      <c r="I65" s="143"/>
      <c r="J65" s="105"/>
      <c r="K65" s="184">
        <f>J65</f>
        <v>0</v>
      </c>
      <c r="L65" s="184"/>
      <c r="M65" s="112">
        <f>J65*H65</f>
        <v>0</v>
      </c>
      <c r="N65" s="130">
        <f>M65</f>
        <v>0</v>
      </c>
      <c r="P65" s="201" t="s">
        <v>201</v>
      </c>
      <c r="Z65" s="195"/>
    </row>
    <row r="66" spans="1:26" s="170" customFormat="1" ht="38.25" outlineLevel="1" x14ac:dyDescent="0.25">
      <c r="A66" s="218" t="s">
        <v>174</v>
      </c>
      <c r="B66" s="202"/>
      <c r="C66" s="203"/>
      <c r="D66" s="219" t="s">
        <v>123</v>
      </c>
      <c r="E66" s="191" t="s">
        <v>128</v>
      </c>
      <c r="F66" s="212" t="s">
        <v>124</v>
      </c>
      <c r="G66" s="193">
        <v>1.03</v>
      </c>
      <c r="H66" s="103">
        <f>ROUND((4+24+16+19+22+22+23)*G66,0)</f>
        <v>134</v>
      </c>
      <c r="I66" s="236"/>
      <c r="J66" s="133"/>
      <c r="K66" s="194">
        <f>I66</f>
        <v>0</v>
      </c>
      <c r="L66" s="194">
        <f>I66*H66</f>
        <v>0</v>
      </c>
      <c r="M66" s="114"/>
      <c r="N66" s="131">
        <f>L66</f>
        <v>0</v>
      </c>
      <c r="P66" s="132"/>
      <c r="Z66" s="195"/>
    </row>
    <row r="67" spans="1:26" s="170" customFormat="1" ht="38.25" outlineLevel="1" x14ac:dyDescent="0.25">
      <c r="A67" s="218" t="s">
        <v>176</v>
      </c>
      <c r="B67" s="202"/>
      <c r="C67" s="203"/>
      <c r="D67" s="219" t="s">
        <v>137</v>
      </c>
      <c r="E67" s="191" t="s">
        <v>128</v>
      </c>
      <c r="F67" s="212" t="s">
        <v>124</v>
      </c>
      <c r="G67" s="193">
        <v>1.03</v>
      </c>
      <c r="H67" s="103">
        <f>ROUND((11+11)*G67,0)</f>
        <v>23</v>
      </c>
      <c r="I67" s="236"/>
      <c r="J67" s="133"/>
      <c r="K67" s="194">
        <f t="shared" ref="K67" si="29">I67</f>
        <v>0</v>
      </c>
      <c r="L67" s="194">
        <f t="shared" ref="L67" si="30">I67*H67</f>
        <v>0</v>
      </c>
      <c r="M67" s="114"/>
      <c r="N67" s="131">
        <f t="shared" ref="N67" si="31">L67</f>
        <v>0</v>
      </c>
      <c r="P67" s="132"/>
      <c r="Z67" s="195"/>
    </row>
    <row r="68" spans="1:26" s="170" customFormat="1" ht="12.75" outlineLevel="1" x14ac:dyDescent="0.25">
      <c r="A68" s="218" t="s">
        <v>175</v>
      </c>
      <c r="B68" s="202"/>
      <c r="C68" s="203"/>
      <c r="D68" s="219" t="s">
        <v>125</v>
      </c>
      <c r="E68" s="191" t="s">
        <v>128</v>
      </c>
      <c r="F68" s="212" t="s">
        <v>124</v>
      </c>
      <c r="G68" s="193">
        <v>1.1000000000000001</v>
      </c>
      <c r="H68" s="103">
        <f>ROUND(152*G68,0)</f>
        <v>167</v>
      </c>
      <c r="I68" s="236"/>
      <c r="J68" s="133"/>
      <c r="K68" s="194">
        <f>I68</f>
        <v>0</v>
      </c>
      <c r="L68" s="194">
        <f>I68*H68</f>
        <v>0</v>
      </c>
      <c r="M68" s="114"/>
      <c r="N68" s="131">
        <f>L68</f>
        <v>0</v>
      </c>
      <c r="P68" s="111"/>
      <c r="Z68" s="195"/>
    </row>
    <row r="69" spans="1:26" s="170" customFormat="1" ht="76.5" outlineLevel="1" x14ac:dyDescent="0.25">
      <c r="A69" s="178" t="s">
        <v>214</v>
      </c>
      <c r="B69" s="179" t="s">
        <v>122</v>
      </c>
      <c r="C69" s="179"/>
      <c r="D69" s="180" t="s">
        <v>206</v>
      </c>
      <c r="E69" s="181" t="s">
        <v>6</v>
      </c>
      <c r="F69" s="182" t="s">
        <v>124</v>
      </c>
      <c r="G69" s="183"/>
      <c r="H69" s="104">
        <v>18</v>
      </c>
      <c r="I69" s="143"/>
      <c r="J69" s="105"/>
      <c r="K69" s="184">
        <f>J69</f>
        <v>0</v>
      </c>
      <c r="L69" s="184"/>
      <c r="M69" s="112">
        <f>J69*H69</f>
        <v>0</v>
      </c>
      <c r="N69" s="130">
        <f>M69</f>
        <v>0</v>
      </c>
      <c r="P69" s="201" t="s">
        <v>201</v>
      </c>
      <c r="Z69" s="195"/>
    </row>
    <row r="70" spans="1:26" s="170" customFormat="1" ht="38.25" outlineLevel="1" x14ac:dyDescent="0.25">
      <c r="A70" s="218" t="s">
        <v>215</v>
      </c>
      <c r="B70" s="202"/>
      <c r="C70" s="203"/>
      <c r="D70" s="219" t="s">
        <v>123</v>
      </c>
      <c r="E70" s="191" t="s">
        <v>128</v>
      </c>
      <c r="F70" s="212" t="s">
        <v>124</v>
      </c>
      <c r="G70" s="193">
        <v>1.03</v>
      </c>
      <c r="H70" s="103">
        <f>ROUND(18*G70,0)</f>
        <v>19</v>
      </c>
      <c r="I70" s="236"/>
      <c r="J70" s="133"/>
      <c r="K70" s="194">
        <f>I70</f>
        <v>0</v>
      </c>
      <c r="L70" s="194">
        <f>I70*H70</f>
        <v>0</v>
      </c>
      <c r="M70" s="114"/>
      <c r="N70" s="131">
        <f>L70</f>
        <v>0</v>
      </c>
      <c r="P70" s="132"/>
      <c r="Z70" s="195"/>
    </row>
    <row r="71" spans="1:26" s="170" customFormat="1" ht="12.75" x14ac:dyDescent="0.25">
      <c r="A71" s="171">
        <v>3</v>
      </c>
      <c r="B71" s="172"/>
      <c r="C71" s="172"/>
      <c r="D71" s="173" t="s">
        <v>190</v>
      </c>
      <c r="E71" s="125"/>
      <c r="F71" s="174"/>
      <c r="G71" s="175"/>
      <c r="H71" s="128"/>
      <c r="I71" s="240"/>
      <c r="J71" s="126"/>
      <c r="K71" s="176"/>
      <c r="L71" s="176"/>
      <c r="M71" s="127"/>
      <c r="N71" s="129"/>
      <c r="P71" s="111"/>
    </row>
    <row r="72" spans="1:26" s="170" customFormat="1" ht="25.5" outlineLevel="1" x14ac:dyDescent="0.25">
      <c r="A72" s="178" t="s">
        <v>191</v>
      </c>
      <c r="B72" s="179" t="s">
        <v>187</v>
      </c>
      <c r="C72" s="179"/>
      <c r="D72" s="180" t="s">
        <v>189</v>
      </c>
      <c r="E72" s="181" t="s">
        <v>6</v>
      </c>
      <c r="F72" s="182" t="s">
        <v>124</v>
      </c>
      <c r="G72" s="183"/>
      <c r="H72" s="104">
        <f>H73</f>
        <v>50</v>
      </c>
      <c r="I72" s="143"/>
      <c r="J72" s="105"/>
      <c r="K72" s="184">
        <f>J72</f>
        <v>0</v>
      </c>
      <c r="L72" s="184"/>
      <c r="M72" s="112">
        <f>J72*H72</f>
        <v>0</v>
      </c>
      <c r="N72" s="130">
        <f>M72</f>
        <v>0</v>
      </c>
      <c r="P72" s="185" t="s">
        <v>211</v>
      </c>
      <c r="Z72" s="195"/>
    </row>
    <row r="73" spans="1:26" s="170" customFormat="1" ht="25.5" outlineLevel="1" x14ac:dyDescent="0.25">
      <c r="A73" s="218" t="s">
        <v>192</v>
      </c>
      <c r="B73" s="202"/>
      <c r="C73" s="203"/>
      <c r="D73" s="219" t="s">
        <v>188</v>
      </c>
      <c r="E73" s="191" t="s">
        <v>128</v>
      </c>
      <c r="F73" s="212" t="s">
        <v>124</v>
      </c>
      <c r="G73" s="193">
        <v>1</v>
      </c>
      <c r="H73" s="103">
        <v>50</v>
      </c>
      <c r="I73" s="236"/>
      <c r="J73" s="133"/>
      <c r="K73" s="194">
        <f>I73</f>
        <v>0</v>
      </c>
      <c r="L73" s="194">
        <f>I73*H73</f>
        <v>0</v>
      </c>
      <c r="M73" s="114"/>
      <c r="N73" s="131">
        <f>L73</f>
        <v>0</v>
      </c>
      <c r="P73" s="111"/>
      <c r="Z73" s="195"/>
    </row>
    <row r="74" spans="1:26" s="170" customFormat="1" ht="12.75" outlineLevel="1" x14ac:dyDescent="0.25">
      <c r="A74" s="218" t="s">
        <v>197</v>
      </c>
      <c r="B74" s="202"/>
      <c r="C74" s="203"/>
      <c r="D74" s="219" t="s">
        <v>193</v>
      </c>
      <c r="E74" s="191" t="s">
        <v>128</v>
      </c>
      <c r="F74" s="212" t="s">
        <v>59</v>
      </c>
      <c r="G74" s="193">
        <v>1</v>
      </c>
      <c r="H74" s="103">
        <f>ROUNDUP($H$73/2,0)</f>
        <v>25</v>
      </c>
      <c r="I74" s="236"/>
      <c r="J74" s="133"/>
      <c r="K74" s="194">
        <f>I74</f>
        <v>0</v>
      </c>
      <c r="L74" s="194">
        <f>I74*H74</f>
        <v>0</v>
      </c>
      <c r="M74" s="114"/>
      <c r="N74" s="131">
        <f>L74</f>
        <v>0</v>
      </c>
      <c r="P74" s="111"/>
      <c r="Z74" s="195"/>
    </row>
    <row r="75" spans="1:26" s="170" customFormat="1" ht="12.75" outlineLevel="1" x14ac:dyDescent="0.25">
      <c r="A75" s="218" t="s">
        <v>198</v>
      </c>
      <c r="B75" s="202"/>
      <c r="C75" s="203"/>
      <c r="D75" s="219" t="s">
        <v>196</v>
      </c>
      <c r="E75" s="191" t="s">
        <v>128</v>
      </c>
      <c r="F75" s="212" t="s">
        <v>59</v>
      </c>
      <c r="G75" s="193">
        <v>1</v>
      </c>
      <c r="H75" s="103">
        <f>ROUNDUP($H$73/2,0)</f>
        <v>25</v>
      </c>
      <c r="I75" s="236"/>
      <c r="J75" s="133"/>
      <c r="K75" s="194">
        <f>I75</f>
        <v>0</v>
      </c>
      <c r="L75" s="194">
        <f>I75*H75</f>
        <v>0</v>
      </c>
      <c r="M75" s="114"/>
      <c r="N75" s="131">
        <f>L75</f>
        <v>0</v>
      </c>
      <c r="P75" s="111"/>
      <c r="Z75" s="195"/>
    </row>
    <row r="76" spans="1:26" s="170" customFormat="1" ht="12.75" outlineLevel="1" x14ac:dyDescent="0.25">
      <c r="A76" s="218" t="s">
        <v>199</v>
      </c>
      <c r="B76" s="202"/>
      <c r="C76" s="203"/>
      <c r="D76" s="219" t="s">
        <v>195</v>
      </c>
      <c r="E76" s="191" t="s">
        <v>128</v>
      </c>
      <c r="F76" s="212" t="s">
        <v>59</v>
      </c>
      <c r="G76" s="193">
        <v>1</v>
      </c>
      <c r="H76" s="103">
        <f>ROUNDUP($H$73/2,0)</f>
        <v>25</v>
      </c>
      <c r="I76" s="236"/>
      <c r="J76" s="133"/>
      <c r="K76" s="194">
        <f>I76</f>
        <v>0</v>
      </c>
      <c r="L76" s="194">
        <f>I76*H76</f>
        <v>0</v>
      </c>
      <c r="M76" s="114"/>
      <c r="N76" s="131">
        <f>L76</f>
        <v>0</v>
      </c>
      <c r="P76" s="111"/>
      <c r="Z76" s="195"/>
    </row>
    <row r="77" spans="1:26" s="170" customFormat="1" ht="12.75" outlineLevel="1" x14ac:dyDescent="0.25">
      <c r="A77" s="218" t="s">
        <v>200</v>
      </c>
      <c r="B77" s="202"/>
      <c r="C77" s="203"/>
      <c r="D77" s="219" t="s">
        <v>194</v>
      </c>
      <c r="E77" s="191" t="s">
        <v>128</v>
      </c>
      <c r="F77" s="212" t="s">
        <v>59</v>
      </c>
      <c r="G77" s="193">
        <v>1</v>
      </c>
      <c r="H77" s="103">
        <f>ROUNDUP($H$73/2,0)</f>
        <v>25</v>
      </c>
      <c r="I77" s="236"/>
      <c r="J77" s="133"/>
      <c r="K77" s="194">
        <f>I77</f>
        <v>0</v>
      </c>
      <c r="L77" s="194">
        <f>I77*H77</f>
        <v>0</v>
      </c>
      <c r="M77" s="114"/>
      <c r="N77" s="131">
        <f>L77</f>
        <v>0</v>
      </c>
      <c r="P77" s="111"/>
      <c r="Z77" s="195"/>
    </row>
    <row r="78" spans="1:26" s="170" customFormat="1" x14ac:dyDescent="0.25">
      <c r="A78" s="220"/>
      <c r="B78" s="221"/>
      <c r="C78" s="115"/>
      <c r="D78" s="273" t="s">
        <v>224</v>
      </c>
      <c r="E78" s="107"/>
      <c r="F78" s="107"/>
      <c r="G78" s="107"/>
      <c r="H78" s="108"/>
      <c r="I78" s="274"/>
      <c r="J78" s="275"/>
      <c r="K78" s="110"/>
      <c r="L78" s="119"/>
      <c r="M78" s="119"/>
      <c r="N78" s="119"/>
      <c r="P78" s="132"/>
      <c r="Z78" s="195"/>
    </row>
    <row r="79" spans="1:26" s="170" customFormat="1" ht="12.75" x14ac:dyDescent="0.25">
      <c r="A79" s="171">
        <v>4</v>
      </c>
      <c r="B79" s="172"/>
      <c r="C79" s="172"/>
      <c r="D79" s="173" t="s">
        <v>102</v>
      </c>
      <c r="E79" s="125"/>
      <c r="F79" s="174"/>
      <c r="G79" s="175"/>
      <c r="H79" s="128"/>
      <c r="I79" s="240"/>
      <c r="J79" s="126"/>
      <c r="K79" s="176"/>
      <c r="L79" s="176"/>
      <c r="M79" s="127"/>
      <c r="N79" s="129"/>
      <c r="P79" s="132"/>
    </row>
    <row r="80" spans="1:26" s="170" customFormat="1" ht="25.5" outlineLevel="1" x14ac:dyDescent="0.25">
      <c r="A80" s="178" t="s">
        <v>230</v>
      </c>
      <c r="B80" s="179" t="s">
        <v>129</v>
      </c>
      <c r="C80" s="179"/>
      <c r="D80" s="180" t="s">
        <v>126</v>
      </c>
      <c r="E80" s="181" t="s">
        <v>6</v>
      </c>
      <c r="F80" s="182" t="s">
        <v>127</v>
      </c>
      <c r="G80" s="262"/>
      <c r="H80" s="104">
        <v>2</v>
      </c>
      <c r="I80" s="143"/>
      <c r="J80" s="105"/>
      <c r="K80" s="184">
        <f>J80</f>
        <v>0</v>
      </c>
      <c r="L80" s="184"/>
      <c r="M80" s="112">
        <f>J80*H80</f>
        <v>0</v>
      </c>
      <c r="N80" s="130">
        <f>M80</f>
        <v>0</v>
      </c>
      <c r="P80" s="185" t="s">
        <v>211</v>
      </c>
      <c r="U80" s="186"/>
    </row>
    <row r="81" spans="1:26" s="170" customFormat="1" outlineLevel="1" x14ac:dyDescent="0.25">
      <c r="A81" s="187" t="s">
        <v>231</v>
      </c>
      <c r="B81" s="188"/>
      <c r="C81" s="189"/>
      <c r="D81" s="190" t="s">
        <v>109</v>
      </c>
      <c r="E81" s="191" t="s">
        <v>128</v>
      </c>
      <c r="F81" s="192" t="s">
        <v>59</v>
      </c>
      <c r="G81" s="193">
        <v>1</v>
      </c>
      <c r="H81" s="103">
        <v>2</v>
      </c>
      <c r="I81" s="236"/>
      <c r="J81" s="106"/>
      <c r="K81" s="194">
        <f>I81</f>
        <v>0</v>
      </c>
      <c r="L81" s="194">
        <f>I81*H81</f>
        <v>0</v>
      </c>
      <c r="M81" s="114"/>
      <c r="N81" s="131">
        <f>L81</f>
        <v>0</v>
      </c>
      <c r="P81" s="132"/>
      <c r="Z81" s="195"/>
    </row>
    <row r="82" spans="1:26" s="170" customFormat="1" outlineLevel="1" x14ac:dyDescent="0.25">
      <c r="A82" s="187" t="s">
        <v>232</v>
      </c>
      <c r="B82" s="188"/>
      <c r="C82" s="189"/>
      <c r="D82" s="190" t="s">
        <v>112</v>
      </c>
      <c r="E82" s="191" t="s">
        <v>128</v>
      </c>
      <c r="F82" s="192" t="s">
        <v>59</v>
      </c>
      <c r="G82" s="193">
        <v>1</v>
      </c>
      <c r="H82" s="103">
        <v>2</v>
      </c>
      <c r="I82" s="236"/>
      <c r="J82" s="113"/>
      <c r="K82" s="194">
        <f>I82</f>
        <v>0</v>
      </c>
      <c r="L82" s="194">
        <f>I82*H82</f>
        <v>0</v>
      </c>
      <c r="M82" s="114"/>
      <c r="N82" s="131">
        <f>L82</f>
        <v>0</v>
      </c>
      <c r="P82" s="132"/>
      <c r="Z82" s="195"/>
    </row>
    <row r="83" spans="1:26" s="170" customFormat="1" ht="12.75" outlineLevel="1" x14ac:dyDescent="0.25">
      <c r="A83" s="178" t="s">
        <v>233</v>
      </c>
      <c r="B83" s="179"/>
      <c r="C83" s="179"/>
      <c r="D83" s="180" t="s">
        <v>153</v>
      </c>
      <c r="E83" s="181" t="s">
        <v>6</v>
      </c>
      <c r="F83" s="182" t="s">
        <v>59</v>
      </c>
      <c r="G83" s="183"/>
      <c r="H83" s="104">
        <f>H85</f>
        <v>2</v>
      </c>
      <c r="I83" s="143"/>
      <c r="J83" s="237"/>
      <c r="K83" s="184">
        <f>J83</f>
        <v>0</v>
      </c>
      <c r="L83" s="184"/>
      <c r="M83" s="112">
        <f>J83*H83</f>
        <v>0</v>
      </c>
      <c r="N83" s="130">
        <f>M83</f>
        <v>0</v>
      </c>
      <c r="P83" s="185" t="s">
        <v>211</v>
      </c>
      <c r="Z83" s="195"/>
    </row>
    <row r="84" spans="1:26" s="170" customFormat="1" ht="30" outlineLevel="1" x14ac:dyDescent="0.25">
      <c r="A84" s="263" t="s">
        <v>234</v>
      </c>
      <c r="B84" s="197"/>
      <c r="C84" s="197"/>
      <c r="D84" s="198" t="s">
        <v>149</v>
      </c>
      <c r="E84" s="191" t="s">
        <v>128</v>
      </c>
      <c r="F84" s="199" t="s">
        <v>59</v>
      </c>
      <c r="G84" s="200">
        <v>1</v>
      </c>
      <c r="H84" s="138">
        <v>2</v>
      </c>
      <c r="I84" s="238"/>
      <c r="J84" s="239"/>
      <c r="K84" s="194">
        <f t="shared" ref="K84:K87" si="32">I84</f>
        <v>0</v>
      </c>
      <c r="L84" s="194">
        <f t="shared" ref="L84:L87" si="33">I84*H84</f>
        <v>0</v>
      </c>
      <c r="M84" s="114"/>
      <c r="N84" s="131">
        <f t="shared" ref="N84:N87" si="34">L84</f>
        <v>0</v>
      </c>
      <c r="P84" s="137"/>
      <c r="Z84" s="195"/>
    </row>
    <row r="85" spans="1:26" s="170" customFormat="1" outlineLevel="1" x14ac:dyDescent="0.25">
      <c r="A85" s="187" t="s">
        <v>235</v>
      </c>
      <c r="B85" s="188"/>
      <c r="C85" s="189"/>
      <c r="D85" s="198" t="s">
        <v>130</v>
      </c>
      <c r="E85" s="191" t="s">
        <v>128</v>
      </c>
      <c r="F85" s="192" t="s">
        <v>59</v>
      </c>
      <c r="G85" s="193">
        <v>1</v>
      </c>
      <c r="H85" s="103">
        <v>2</v>
      </c>
      <c r="I85" s="236"/>
      <c r="J85" s="113"/>
      <c r="K85" s="194">
        <f t="shared" si="32"/>
        <v>0</v>
      </c>
      <c r="L85" s="194">
        <f t="shared" si="33"/>
        <v>0</v>
      </c>
      <c r="M85" s="114"/>
      <c r="N85" s="131">
        <f t="shared" si="34"/>
        <v>0</v>
      </c>
      <c r="P85" s="132"/>
      <c r="Z85" s="195"/>
    </row>
    <row r="86" spans="1:26" s="170" customFormat="1" outlineLevel="1" x14ac:dyDescent="0.25">
      <c r="A86" s="263" t="s">
        <v>236</v>
      </c>
      <c r="B86" s="202"/>
      <c r="C86" s="203"/>
      <c r="D86" s="198" t="s">
        <v>151</v>
      </c>
      <c r="E86" s="191" t="s">
        <v>128</v>
      </c>
      <c r="F86" s="192" t="s">
        <v>59</v>
      </c>
      <c r="G86" s="193">
        <v>1</v>
      </c>
      <c r="H86" s="103">
        <v>2</v>
      </c>
      <c r="I86" s="236"/>
      <c r="J86" s="133"/>
      <c r="K86" s="194">
        <f t="shared" si="32"/>
        <v>0</v>
      </c>
      <c r="L86" s="204">
        <f t="shared" si="33"/>
        <v>0</v>
      </c>
      <c r="M86" s="134"/>
      <c r="N86" s="136">
        <f t="shared" si="34"/>
        <v>0</v>
      </c>
      <c r="P86" s="132"/>
      <c r="Z86" s="195"/>
    </row>
    <row r="87" spans="1:26" s="170" customFormat="1" ht="30" outlineLevel="1" x14ac:dyDescent="0.25">
      <c r="A87" s="187" t="s">
        <v>237</v>
      </c>
      <c r="B87" s="202"/>
      <c r="C87" s="203"/>
      <c r="D87" s="198" t="s">
        <v>150</v>
      </c>
      <c r="E87" s="191" t="s">
        <v>128</v>
      </c>
      <c r="F87" s="192" t="s">
        <v>59</v>
      </c>
      <c r="G87" s="193">
        <v>1</v>
      </c>
      <c r="H87" s="103">
        <v>2</v>
      </c>
      <c r="I87" s="236"/>
      <c r="J87" s="133"/>
      <c r="K87" s="194">
        <f t="shared" si="32"/>
        <v>0</v>
      </c>
      <c r="L87" s="204">
        <f t="shared" si="33"/>
        <v>0</v>
      </c>
      <c r="M87" s="134"/>
      <c r="N87" s="136">
        <f t="shared" si="34"/>
        <v>0</v>
      </c>
      <c r="P87" s="132"/>
      <c r="Z87" s="195"/>
    </row>
    <row r="88" spans="1:26" s="170" customFormat="1" ht="12.75" outlineLevel="1" x14ac:dyDescent="0.25">
      <c r="A88" s="178" t="s">
        <v>238</v>
      </c>
      <c r="B88" s="179" t="s">
        <v>117</v>
      </c>
      <c r="C88" s="179"/>
      <c r="D88" s="180" t="s">
        <v>116</v>
      </c>
      <c r="E88" s="181" t="s">
        <v>6</v>
      </c>
      <c r="F88" s="182" t="s">
        <v>59</v>
      </c>
      <c r="G88" s="262"/>
      <c r="H88" s="104">
        <f>H89</f>
        <v>2</v>
      </c>
      <c r="I88" s="143"/>
      <c r="J88" s="105"/>
      <c r="K88" s="184">
        <f>J88</f>
        <v>0</v>
      </c>
      <c r="L88" s="184"/>
      <c r="M88" s="112">
        <f>J88*H88</f>
        <v>0</v>
      </c>
      <c r="N88" s="130">
        <f>M88</f>
        <v>0</v>
      </c>
      <c r="P88" s="185" t="s">
        <v>211</v>
      </c>
      <c r="Z88" s="195"/>
    </row>
    <row r="89" spans="1:26" s="170" customFormat="1" ht="12.75" outlineLevel="1" x14ac:dyDescent="0.25">
      <c r="A89" s="187" t="s">
        <v>239</v>
      </c>
      <c r="B89" s="188"/>
      <c r="C89" s="189"/>
      <c r="D89" s="206" t="s">
        <v>118</v>
      </c>
      <c r="E89" s="191" t="s">
        <v>128</v>
      </c>
      <c r="F89" s="192" t="s">
        <v>59</v>
      </c>
      <c r="G89" s="193">
        <v>1</v>
      </c>
      <c r="H89" s="103">
        <v>2</v>
      </c>
      <c r="I89" s="236"/>
      <c r="J89" s="113"/>
      <c r="K89" s="194">
        <f>I89</f>
        <v>0</v>
      </c>
      <c r="L89" s="194">
        <f>I89*H89</f>
        <v>0</v>
      </c>
      <c r="M89" s="114"/>
      <c r="N89" s="131">
        <f>L89</f>
        <v>0</v>
      </c>
      <c r="P89" s="132"/>
      <c r="Z89" s="195"/>
    </row>
    <row r="90" spans="1:26" s="170" customFormat="1" ht="76.5" outlineLevel="1" x14ac:dyDescent="0.25">
      <c r="A90" s="178" t="s">
        <v>240</v>
      </c>
      <c r="B90" s="179" t="s">
        <v>134</v>
      </c>
      <c r="C90" s="179"/>
      <c r="D90" s="180" t="s">
        <v>202</v>
      </c>
      <c r="E90" s="181" t="s">
        <v>6</v>
      </c>
      <c r="F90" s="182" t="s">
        <v>124</v>
      </c>
      <c r="G90" s="262"/>
      <c r="H90" s="104">
        <f>81*4+49+57</f>
        <v>430</v>
      </c>
      <c r="I90" s="143"/>
      <c r="J90" s="237"/>
      <c r="K90" s="184">
        <f>J90</f>
        <v>0</v>
      </c>
      <c r="L90" s="184"/>
      <c r="M90" s="112">
        <f>J90*H90</f>
        <v>0</v>
      </c>
      <c r="N90" s="130">
        <f>M90</f>
        <v>0</v>
      </c>
      <c r="P90" s="185" t="s">
        <v>201</v>
      </c>
      <c r="Z90" s="195"/>
    </row>
    <row r="91" spans="1:26" s="170" customFormat="1" ht="45" outlineLevel="1" x14ac:dyDescent="0.25">
      <c r="A91" s="210" t="s">
        <v>241</v>
      </c>
      <c r="B91" s="202"/>
      <c r="C91" s="203"/>
      <c r="D91" s="208" t="s">
        <v>135</v>
      </c>
      <c r="E91" s="211" t="s">
        <v>128</v>
      </c>
      <c r="F91" s="212" t="s">
        <v>124</v>
      </c>
      <c r="G91" s="193">
        <v>1.03</v>
      </c>
      <c r="H91" s="103">
        <f>ROUND(81*2*G91,0)</f>
        <v>167</v>
      </c>
      <c r="I91" s="236"/>
      <c r="J91" s="133"/>
      <c r="K91" s="194">
        <f t="shared" ref="K91:K93" si="35">I91</f>
        <v>0</v>
      </c>
      <c r="L91" s="194">
        <f t="shared" ref="L91:L93" si="36">I91*H91</f>
        <v>0</v>
      </c>
      <c r="M91" s="114"/>
      <c r="N91" s="131">
        <f t="shared" ref="N91:N93" si="37">L91</f>
        <v>0</v>
      </c>
      <c r="P91" s="132"/>
      <c r="Z91" s="195"/>
    </row>
    <row r="92" spans="1:26" s="170" customFormat="1" ht="45" outlineLevel="1" x14ac:dyDescent="0.25">
      <c r="A92" s="210" t="s">
        <v>242</v>
      </c>
      <c r="B92" s="202"/>
      <c r="C92" s="203"/>
      <c r="D92" s="208" t="s">
        <v>138</v>
      </c>
      <c r="E92" s="211" t="s">
        <v>128</v>
      </c>
      <c r="F92" s="212" t="s">
        <v>124</v>
      </c>
      <c r="G92" s="193">
        <v>1.03</v>
      </c>
      <c r="H92" s="103">
        <f>ROUND(81*2*G92,0)</f>
        <v>167</v>
      </c>
      <c r="I92" s="236"/>
      <c r="J92" s="133"/>
      <c r="K92" s="194">
        <f t="shared" si="35"/>
        <v>0</v>
      </c>
      <c r="L92" s="194">
        <f t="shared" si="36"/>
        <v>0</v>
      </c>
      <c r="M92" s="114"/>
      <c r="N92" s="131">
        <f t="shared" si="37"/>
        <v>0</v>
      </c>
      <c r="P92" s="132"/>
      <c r="Z92" s="195"/>
    </row>
    <row r="93" spans="1:26" s="170" customFormat="1" ht="45" outlineLevel="1" x14ac:dyDescent="0.25">
      <c r="A93" s="210" t="s">
        <v>243</v>
      </c>
      <c r="B93" s="202"/>
      <c r="C93" s="203"/>
      <c r="D93" s="208" t="s">
        <v>136</v>
      </c>
      <c r="E93" s="211" t="s">
        <v>128</v>
      </c>
      <c r="F93" s="212" t="s">
        <v>124</v>
      </c>
      <c r="G93" s="193">
        <v>1.03</v>
      </c>
      <c r="H93" s="103">
        <f>ROUND((49+57)*G93,0)</f>
        <v>109</v>
      </c>
      <c r="I93" s="236"/>
      <c r="J93" s="133"/>
      <c r="K93" s="194">
        <f t="shared" si="35"/>
        <v>0</v>
      </c>
      <c r="L93" s="194">
        <f t="shared" si="36"/>
        <v>0</v>
      </c>
      <c r="M93" s="114"/>
      <c r="N93" s="131">
        <f t="shared" si="37"/>
        <v>0</v>
      </c>
      <c r="P93" s="132"/>
      <c r="Z93" s="195"/>
    </row>
    <row r="94" spans="1:26" s="170" customFormat="1" ht="76.5" outlineLevel="1" x14ac:dyDescent="0.25">
      <c r="A94" s="178" t="s">
        <v>244</v>
      </c>
      <c r="B94" s="179" t="s">
        <v>134</v>
      </c>
      <c r="C94" s="179"/>
      <c r="D94" s="180" t="s">
        <v>213</v>
      </c>
      <c r="E94" s="181" t="s">
        <v>6</v>
      </c>
      <c r="F94" s="182" t="s">
        <v>124</v>
      </c>
      <c r="G94" s="183"/>
      <c r="H94" s="104">
        <f>25*4+316*16</f>
        <v>5156</v>
      </c>
      <c r="I94" s="143"/>
      <c r="J94" s="237"/>
      <c r="K94" s="184">
        <f>J94</f>
        <v>0</v>
      </c>
      <c r="L94" s="184"/>
      <c r="M94" s="112">
        <f>J94*H94</f>
        <v>0</v>
      </c>
      <c r="N94" s="130">
        <f>M94</f>
        <v>0</v>
      </c>
      <c r="P94" s="185" t="s">
        <v>201</v>
      </c>
      <c r="Z94" s="195"/>
    </row>
    <row r="95" spans="1:26" s="170" customFormat="1" ht="45" outlineLevel="1" x14ac:dyDescent="0.25">
      <c r="A95" s="210" t="s">
        <v>245</v>
      </c>
      <c r="B95" s="202"/>
      <c r="C95" s="203"/>
      <c r="D95" s="208" t="s">
        <v>135</v>
      </c>
      <c r="E95" s="211" t="s">
        <v>128</v>
      </c>
      <c r="F95" s="212" t="s">
        <v>124</v>
      </c>
      <c r="G95" s="193">
        <v>1.03</v>
      </c>
      <c r="H95" s="103">
        <f>ROUND((25*2+316*16)*G95,0)</f>
        <v>5259</v>
      </c>
      <c r="I95" s="236"/>
      <c r="J95" s="133"/>
      <c r="K95" s="194">
        <f t="shared" ref="K95:K96" si="38">I95</f>
        <v>0</v>
      </c>
      <c r="L95" s="194">
        <f t="shared" ref="L95:L96" si="39">I95*H95</f>
        <v>0</v>
      </c>
      <c r="M95" s="114"/>
      <c r="N95" s="131">
        <f t="shared" ref="N95:N96" si="40">L95</f>
        <v>0</v>
      </c>
      <c r="P95" s="132"/>
      <c r="Z95" s="195"/>
    </row>
    <row r="96" spans="1:26" s="170" customFormat="1" ht="45" outlineLevel="1" x14ac:dyDescent="0.25">
      <c r="A96" s="210" t="s">
        <v>246</v>
      </c>
      <c r="B96" s="202"/>
      <c r="C96" s="203"/>
      <c r="D96" s="208" t="s">
        <v>138</v>
      </c>
      <c r="E96" s="211" t="s">
        <v>128</v>
      </c>
      <c r="F96" s="212" t="s">
        <v>124</v>
      </c>
      <c r="G96" s="193">
        <v>1.03</v>
      </c>
      <c r="H96" s="103">
        <f>ROUND(50*G96,0)</f>
        <v>52</v>
      </c>
      <c r="I96" s="236"/>
      <c r="J96" s="133"/>
      <c r="K96" s="194">
        <f t="shared" si="38"/>
        <v>0</v>
      </c>
      <c r="L96" s="194">
        <f t="shared" si="39"/>
        <v>0</v>
      </c>
      <c r="M96" s="114"/>
      <c r="N96" s="131">
        <f t="shared" si="40"/>
        <v>0</v>
      </c>
      <c r="P96" s="132"/>
      <c r="Z96" s="195"/>
    </row>
    <row r="97" spans="1:26" s="170" customFormat="1" outlineLevel="1" x14ac:dyDescent="0.25">
      <c r="A97" s="210" t="s">
        <v>247</v>
      </c>
      <c r="B97" s="202"/>
      <c r="C97" s="203"/>
      <c r="D97" s="208" t="s">
        <v>139</v>
      </c>
      <c r="E97" s="211" t="s">
        <v>128</v>
      </c>
      <c r="F97" s="212" t="s">
        <v>124</v>
      </c>
      <c r="G97" s="193">
        <v>1.1000000000000001</v>
      </c>
      <c r="H97" s="103">
        <f>ROUND(5156*G97,0)</f>
        <v>5672</v>
      </c>
      <c r="I97" s="236"/>
      <c r="J97" s="133"/>
      <c r="K97" s="194">
        <f>I97</f>
        <v>0</v>
      </c>
      <c r="L97" s="194">
        <f>I97*H97</f>
        <v>0</v>
      </c>
      <c r="M97" s="114"/>
      <c r="N97" s="131">
        <f>L97</f>
        <v>0</v>
      </c>
      <c r="P97" s="132"/>
      <c r="Z97" s="195"/>
    </row>
    <row r="98" spans="1:26" s="170" customFormat="1" outlineLevel="1" x14ac:dyDescent="0.25">
      <c r="A98" s="210" t="s">
        <v>248</v>
      </c>
      <c r="B98" s="202"/>
      <c r="C98" s="203"/>
      <c r="D98" s="208" t="s">
        <v>152</v>
      </c>
      <c r="E98" s="211" t="s">
        <v>128</v>
      </c>
      <c r="F98" s="212" t="s">
        <v>59</v>
      </c>
      <c r="G98" s="193">
        <v>1</v>
      </c>
      <c r="H98" s="103">
        <v>32</v>
      </c>
      <c r="I98" s="236"/>
      <c r="J98" s="133"/>
      <c r="K98" s="194">
        <f>I98</f>
        <v>0</v>
      </c>
      <c r="L98" s="194">
        <f>I98*H98</f>
        <v>0</v>
      </c>
      <c r="M98" s="114"/>
      <c r="N98" s="131">
        <f>L98</f>
        <v>0</v>
      </c>
      <c r="P98" s="132"/>
      <c r="Z98" s="195"/>
    </row>
    <row r="99" spans="1:26" s="170" customFormat="1" ht="76.5" outlineLevel="1" x14ac:dyDescent="0.25">
      <c r="A99" s="214" t="s">
        <v>249</v>
      </c>
      <c r="B99" s="215" t="s">
        <v>205</v>
      </c>
      <c r="C99" s="215"/>
      <c r="D99" s="216" t="s">
        <v>206</v>
      </c>
      <c r="E99" s="181" t="s">
        <v>6</v>
      </c>
      <c r="F99" s="217" t="s">
        <v>124</v>
      </c>
      <c r="G99" s="183"/>
      <c r="H99" s="104">
        <f>6*4+88*2</f>
        <v>200</v>
      </c>
      <c r="I99" s="143"/>
      <c r="J99" s="144"/>
      <c r="K99" s="145">
        <f>J99</f>
        <v>0</v>
      </c>
      <c r="L99" s="145"/>
      <c r="M99" s="146">
        <f>J99*H99</f>
        <v>0</v>
      </c>
      <c r="N99" s="147">
        <f>M99</f>
        <v>0</v>
      </c>
      <c r="P99" s="185" t="s">
        <v>201</v>
      </c>
      <c r="Z99" s="195"/>
    </row>
    <row r="100" spans="1:26" s="170" customFormat="1" ht="45" outlineLevel="1" x14ac:dyDescent="0.25">
      <c r="A100" s="210" t="s">
        <v>250</v>
      </c>
      <c r="B100" s="202"/>
      <c r="C100" s="203"/>
      <c r="D100" s="208" t="s">
        <v>135</v>
      </c>
      <c r="E100" s="211" t="s">
        <v>128</v>
      </c>
      <c r="F100" s="212" t="s">
        <v>124</v>
      </c>
      <c r="G100" s="193">
        <v>1.03</v>
      </c>
      <c r="H100" s="103">
        <f>ROUND(6*2*G100,0)</f>
        <v>12</v>
      </c>
      <c r="I100" s="236"/>
      <c r="J100" s="133"/>
      <c r="K100" s="194">
        <f t="shared" ref="K100:K102" si="41">I100</f>
        <v>0</v>
      </c>
      <c r="L100" s="194">
        <f t="shared" ref="L100:L102" si="42">I100*H100</f>
        <v>0</v>
      </c>
      <c r="M100" s="114"/>
      <c r="N100" s="131">
        <f t="shared" ref="N100:N102" si="43">L100</f>
        <v>0</v>
      </c>
      <c r="P100" s="132"/>
      <c r="Z100" s="195"/>
    </row>
    <row r="101" spans="1:26" s="170" customFormat="1" ht="45" outlineLevel="1" x14ac:dyDescent="0.25">
      <c r="A101" s="210" t="s">
        <v>251</v>
      </c>
      <c r="B101" s="202"/>
      <c r="C101" s="203"/>
      <c r="D101" s="208" t="s">
        <v>138</v>
      </c>
      <c r="E101" s="211" t="s">
        <v>128</v>
      </c>
      <c r="F101" s="212" t="s">
        <v>124</v>
      </c>
      <c r="G101" s="193">
        <v>1.03</v>
      </c>
      <c r="H101" s="103">
        <f>ROUND(6*2*G101,0)</f>
        <v>12</v>
      </c>
      <c r="I101" s="236"/>
      <c r="J101" s="133"/>
      <c r="K101" s="194">
        <f t="shared" si="41"/>
        <v>0</v>
      </c>
      <c r="L101" s="194">
        <f t="shared" si="42"/>
        <v>0</v>
      </c>
      <c r="M101" s="114"/>
      <c r="N101" s="131">
        <f t="shared" si="43"/>
        <v>0</v>
      </c>
      <c r="P101" s="132"/>
      <c r="Z101" s="195"/>
    </row>
    <row r="102" spans="1:26" s="170" customFormat="1" ht="45" outlineLevel="1" x14ac:dyDescent="0.25">
      <c r="A102" s="210" t="s">
        <v>252</v>
      </c>
      <c r="B102" s="202"/>
      <c r="C102" s="203"/>
      <c r="D102" s="208" t="s">
        <v>136</v>
      </c>
      <c r="E102" s="211" t="s">
        <v>128</v>
      </c>
      <c r="F102" s="212" t="s">
        <v>124</v>
      </c>
      <c r="G102" s="193">
        <v>1.03</v>
      </c>
      <c r="H102" s="103">
        <f>ROUND(88*2*G102,0)</f>
        <v>181</v>
      </c>
      <c r="I102" s="236"/>
      <c r="J102" s="133"/>
      <c r="K102" s="194">
        <f t="shared" si="41"/>
        <v>0</v>
      </c>
      <c r="L102" s="194">
        <f t="shared" si="42"/>
        <v>0</v>
      </c>
      <c r="M102" s="114"/>
      <c r="N102" s="131">
        <f t="shared" si="43"/>
        <v>0</v>
      </c>
      <c r="P102" s="132"/>
      <c r="Z102" s="195"/>
    </row>
    <row r="103" spans="1:26" s="170" customFormat="1" ht="12.75" outlineLevel="1" x14ac:dyDescent="0.25">
      <c r="A103" s="178" t="s">
        <v>253</v>
      </c>
      <c r="B103" s="179"/>
      <c r="C103" s="179"/>
      <c r="D103" s="180" t="s">
        <v>225</v>
      </c>
      <c r="E103" s="181" t="s">
        <v>6</v>
      </c>
      <c r="F103" s="182" t="s">
        <v>59</v>
      </c>
      <c r="G103" s="183"/>
      <c r="H103" s="104">
        <f>H104</f>
        <v>384</v>
      </c>
      <c r="I103" s="143"/>
      <c r="J103" s="237"/>
      <c r="K103" s="184">
        <f>J103</f>
        <v>0</v>
      </c>
      <c r="L103" s="184"/>
      <c r="M103" s="112">
        <f>J103*H103</f>
        <v>0</v>
      </c>
      <c r="N103" s="130">
        <f>M103</f>
        <v>0</v>
      </c>
      <c r="P103" s="185" t="s">
        <v>211</v>
      </c>
      <c r="Z103" s="195"/>
    </row>
    <row r="104" spans="1:26" s="170" customFormat="1" outlineLevel="1" x14ac:dyDescent="0.25">
      <c r="A104" s="187" t="s">
        <v>254</v>
      </c>
      <c r="B104" s="188"/>
      <c r="C104" s="189"/>
      <c r="D104" s="207" t="s">
        <v>148</v>
      </c>
      <c r="E104" s="191" t="s">
        <v>128</v>
      </c>
      <c r="F104" s="192" t="s">
        <v>59</v>
      </c>
      <c r="G104" s="193">
        <v>1</v>
      </c>
      <c r="H104" s="103">
        <f>192*2</f>
        <v>384</v>
      </c>
      <c r="I104" s="236"/>
      <c r="J104" s="113"/>
      <c r="K104" s="194">
        <f>I104</f>
        <v>0</v>
      </c>
      <c r="L104" s="194">
        <f>I104*H104</f>
        <v>0</v>
      </c>
      <c r="M104" s="114"/>
      <c r="N104" s="131">
        <f>L104</f>
        <v>0</v>
      </c>
      <c r="P104" s="132"/>
      <c r="Z104" s="195"/>
    </row>
    <row r="105" spans="1:26" s="170" customFormat="1" ht="12.75" x14ac:dyDescent="0.25">
      <c r="A105" s="171">
        <v>5</v>
      </c>
      <c r="B105" s="172"/>
      <c r="C105" s="172"/>
      <c r="D105" s="173" t="s">
        <v>103</v>
      </c>
      <c r="E105" s="125"/>
      <c r="F105" s="174"/>
      <c r="G105" s="175"/>
      <c r="H105" s="128"/>
      <c r="I105" s="240"/>
      <c r="J105" s="126"/>
      <c r="K105" s="176"/>
      <c r="L105" s="176"/>
      <c r="M105" s="127"/>
      <c r="N105" s="129"/>
      <c r="P105" s="132"/>
    </row>
    <row r="106" spans="1:26" s="170" customFormat="1" ht="12.75" outlineLevel="1" x14ac:dyDescent="0.25">
      <c r="A106" s="178" t="s">
        <v>255</v>
      </c>
      <c r="B106" s="179" t="s">
        <v>104</v>
      </c>
      <c r="C106" s="179"/>
      <c r="D106" s="180" t="s">
        <v>105</v>
      </c>
      <c r="E106" s="181" t="s">
        <v>6</v>
      </c>
      <c r="F106" s="182" t="s">
        <v>59</v>
      </c>
      <c r="G106" s="262"/>
      <c r="H106" s="104">
        <f>H107</f>
        <v>1</v>
      </c>
      <c r="I106" s="143"/>
      <c r="J106" s="105"/>
      <c r="K106" s="184">
        <f>J106</f>
        <v>0</v>
      </c>
      <c r="L106" s="184"/>
      <c r="M106" s="112">
        <f>J106*H106</f>
        <v>0</v>
      </c>
      <c r="N106" s="130">
        <f>M106</f>
        <v>0</v>
      </c>
      <c r="P106" s="185" t="s">
        <v>211</v>
      </c>
      <c r="Z106" s="195"/>
    </row>
    <row r="107" spans="1:26" s="170" customFormat="1" outlineLevel="1" x14ac:dyDescent="0.25">
      <c r="A107" s="187" t="s">
        <v>256</v>
      </c>
      <c r="B107" s="188"/>
      <c r="C107" s="189"/>
      <c r="D107" s="207" t="s">
        <v>106</v>
      </c>
      <c r="E107" s="191" t="s">
        <v>128</v>
      </c>
      <c r="F107" s="192" t="s">
        <v>59</v>
      </c>
      <c r="G107" s="193">
        <v>1</v>
      </c>
      <c r="H107" s="103">
        <v>1</v>
      </c>
      <c r="I107" s="236"/>
      <c r="J107" s="113"/>
      <c r="K107" s="194">
        <f t="shared" ref="K107" si="44">I107</f>
        <v>0</v>
      </c>
      <c r="L107" s="194">
        <f t="shared" ref="L107" si="45">I107*H107</f>
        <v>0</v>
      </c>
      <c r="M107" s="114"/>
      <c r="N107" s="131">
        <f t="shared" ref="N107" si="46">L107</f>
        <v>0</v>
      </c>
      <c r="P107" s="132"/>
      <c r="Z107" s="195"/>
    </row>
    <row r="108" spans="1:26" s="170" customFormat="1" ht="12.75" outlineLevel="1" x14ac:dyDescent="0.25">
      <c r="A108" s="178" t="s">
        <v>257</v>
      </c>
      <c r="B108" s="179" t="s">
        <v>107</v>
      </c>
      <c r="C108" s="179"/>
      <c r="D108" s="180" t="s">
        <v>108</v>
      </c>
      <c r="E108" s="181" t="s">
        <v>6</v>
      </c>
      <c r="F108" s="182" t="s">
        <v>59</v>
      </c>
      <c r="G108" s="262"/>
      <c r="H108" s="104">
        <f>H109</f>
        <v>1</v>
      </c>
      <c r="I108" s="143"/>
      <c r="J108" s="105"/>
      <c r="K108" s="184">
        <f>J108</f>
        <v>0</v>
      </c>
      <c r="L108" s="184"/>
      <c r="M108" s="112">
        <f>J108*H108</f>
        <v>0</v>
      </c>
      <c r="N108" s="130">
        <f>M108</f>
        <v>0</v>
      </c>
      <c r="P108" s="185" t="s">
        <v>211</v>
      </c>
      <c r="Z108" s="195"/>
    </row>
    <row r="109" spans="1:26" s="170" customFormat="1" outlineLevel="1" x14ac:dyDescent="0.25">
      <c r="A109" s="187" t="s">
        <v>258</v>
      </c>
      <c r="B109" s="188"/>
      <c r="C109" s="189"/>
      <c r="D109" s="207" t="s">
        <v>109</v>
      </c>
      <c r="E109" s="191" t="s">
        <v>128</v>
      </c>
      <c r="F109" s="192" t="s">
        <v>59</v>
      </c>
      <c r="G109" s="193">
        <v>1</v>
      </c>
      <c r="H109" s="103">
        <v>1</v>
      </c>
      <c r="I109" s="236"/>
      <c r="J109" s="113"/>
      <c r="K109" s="194">
        <f>I109</f>
        <v>0</v>
      </c>
      <c r="L109" s="194">
        <f>I109*H109</f>
        <v>0</v>
      </c>
      <c r="M109" s="114"/>
      <c r="N109" s="131">
        <f>L109</f>
        <v>0</v>
      </c>
      <c r="P109" s="132"/>
      <c r="Z109" s="195"/>
    </row>
    <row r="110" spans="1:26" s="170" customFormat="1" ht="12.75" outlineLevel="1" x14ac:dyDescent="0.25">
      <c r="A110" s="178" t="s">
        <v>259</v>
      </c>
      <c r="B110" s="179" t="s">
        <v>111</v>
      </c>
      <c r="C110" s="179"/>
      <c r="D110" s="180" t="s">
        <v>110</v>
      </c>
      <c r="E110" s="181" t="s">
        <v>6</v>
      </c>
      <c r="F110" s="182" t="s">
        <v>59</v>
      </c>
      <c r="G110" s="262"/>
      <c r="H110" s="104">
        <f>H111</f>
        <v>1</v>
      </c>
      <c r="I110" s="143"/>
      <c r="J110" s="105"/>
      <c r="K110" s="184">
        <f>J110</f>
        <v>0</v>
      </c>
      <c r="L110" s="184"/>
      <c r="M110" s="112">
        <f>J110*H110</f>
        <v>0</v>
      </c>
      <c r="N110" s="130">
        <f>M110</f>
        <v>0</v>
      </c>
      <c r="P110" s="185" t="s">
        <v>211</v>
      </c>
      <c r="Z110" s="195"/>
    </row>
    <row r="111" spans="1:26" s="170" customFormat="1" outlineLevel="1" x14ac:dyDescent="0.25">
      <c r="A111" s="187" t="s">
        <v>260</v>
      </c>
      <c r="B111" s="188"/>
      <c r="C111" s="189"/>
      <c r="D111" s="207" t="s">
        <v>112</v>
      </c>
      <c r="E111" s="191" t="s">
        <v>128</v>
      </c>
      <c r="F111" s="192" t="s">
        <v>59</v>
      </c>
      <c r="G111" s="193">
        <v>1</v>
      </c>
      <c r="H111" s="103">
        <v>1</v>
      </c>
      <c r="I111" s="236"/>
      <c r="J111" s="113"/>
      <c r="K111" s="194">
        <f t="shared" ref="K111" si="47">I111</f>
        <v>0</v>
      </c>
      <c r="L111" s="194">
        <f t="shared" ref="L111" si="48">I111*H111</f>
        <v>0</v>
      </c>
      <c r="M111" s="114"/>
      <c r="N111" s="131">
        <f t="shared" ref="N111" si="49">L111</f>
        <v>0</v>
      </c>
      <c r="P111" s="132"/>
      <c r="Z111" s="195"/>
    </row>
    <row r="112" spans="1:26" s="170" customFormat="1" ht="12.75" outlineLevel="1" x14ac:dyDescent="0.25">
      <c r="A112" s="178" t="s">
        <v>261</v>
      </c>
      <c r="B112" s="179" t="s">
        <v>114</v>
      </c>
      <c r="C112" s="179"/>
      <c r="D112" s="180" t="s">
        <v>113</v>
      </c>
      <c r="E112" s="181" t="s">
        <v>6</v>
      </c>
      <c r="F112" s="182" t="s">
        <v>59</v>
      </c>
      <c r="G112" s="183">
        <v>1</v>
      </c>
      <c r="H112" s="104">
        <f>H113</f>
        <v>1</v>
      </c>
      <c r="I112" s="143"/>
      <c r="J112" s="105"/>
      <c r="K112" s="184">
        <f>J112</f>
        <v>0</v>
      </c>
      <c r="L112" s="184"/>
      <c r="M112" s="112">
        <f>J112*H112</f>
        <v>0</v>
      </c>
      <c r="N112" s="130">
        <f>M112</f>
        <v>0</v>
      </c>
      <c r="P112" s="185" t="s">
        <v>211</v>
      </c>
      <c r="Z112" s="195"/>
    </row>
    <row r="113" spans="1:26" s="170" customFormat="1" ht="25.5" outlineLevel="1" x14ac:dyDescent="0.25">
      <c r="A113" s="187" t="s">
        <v>262</v>
      </c>
      <c r="B113" s="188"/>
      <c r="C113" s="189" t="s">
        <v>178</v>
      </c>
      <c r="D113" s="206" t="s">
        <v>115</v>
      </c>
      <c r="E113" s="191" t="s">
        <v>128</v>
      </c>
      <c r="F113" s="192" t="s">
        <v>59</v>
      </c>
      <c r="G113" s="193">
        <v>1</v>
      </c>
      <c r="H113" s="103">
        <v>1</v>
      </c>
      <c r="I113" s="236"/>
      <c r="J113" s="113"/>
      <c r="K113" s="194">
        <f>I113</f>
        <v>0</v>
      </c>
      <c r="L113" s="194">
        <f>I113*H113</f>
        <v>0</v>
      </c>
      <c r="M113" s="114"/>
      <c r="N113" s="131">
        <f>L113</f>
        <v>0</v>
      </c>
      <c r="P113" s="132"/>
      <c r="Z113" s="195"/>
    </row>
    <row r="114" spans="1:26" s="170" customFormat="1" ht="12.75" outlineLevel="1" x14ac:dyDescent="0.25">
      <c r="A114" s="178" t="s">
        <v>263</v>
      </c>
      <c r="B114" s="179" t="s">
        <v>117</v>
      </c>
      <c r="C114" s="179"/>
      <c r="D114" s="180" t="s">
        <v>116</v>
      </c>
      <c r="E114" s="181" t="s">
        <v>6</v>
      </c>
      <c r="F114" s="182" t="s">
        <v>59</v>
      </c>
      <c r="G114" s="262"/>
      <c r="H114" s="104">
        <f>H115</f>
        <v>1</v>
      </c>
      <c r="I114" s="143"/>
      <c r="J114" s="105"/>
      <c r="K114" s="184">
        <f>J114</f>
        <v>0</v>
      </c>
      <c r="L114" s="184"/>
      <c r="M114" s="112">
        <f>J114*H114</f>
        <v>0</v>
      </c>
      <c r="N114" s="130">
        <f>M114</f>
        <v>0</v>
      </c>
      <c r="P114" s="185" t="s">
        <v>211</v>
      </c>
      <c r="Z114" s="195"/>
    </row>
    <row r="115" spans="1:26" s="170" customFormat="1" ht="12.75" outlineLevel="1" x14ac:dyDescent="0.25">
      <c r="A115" s="187" t="s">
        <v>264</v>
      </c>
      <c r="B115" s="188"/>
      <c r="C115" s="189"/>
      <c r="D115" s="206" t="s">
        <v>118</v>
      </c>
      <c r="E115" s="191" t="s">
        <v>128</v>
      </c>
      <c r="F115" s="192" t="s">
        <v>59</v>
      </c>
      <c r="G115" s="193">
        <v>1</v>
      </c>
      <c r="H115" s="103">
        <v>1</v>
      </c>
      <c r="I115" s="236"/>
      <c r="J115" s="113"/>
      <c r="K115" s="194">
        <f>I115</f>
        <v>0</v>
      </c>
      <c r="L115" s="194">
        <f>I115*H115</f>
        <v>0</v>
      </c>
      <c r="M115" s="114"/>
      <c r="N115" s="131">
        <f>L115</f>
        <v>0</v>
      </c>
      <c r="P115" s="132"/>
      <c r="Z115" s="195"/>
    </row>
    <row r="116" spans="1:26" s="170" customFormat="1" ht="12.75" outlineLevel="1" x14ac:dyDescent="0.25">
      <c r="A116" s="178" t="s">
        <v>265</v>
      </c>
      <c r="B116" s="179" t="s">
        <v>119</v>
      </c>
      <c r="C116" s="179"/>
      <c r="D116" s="180" t="s">
        <v>120</v>
      </c>
      <c r="E116" s="181" t="s">
        <v>6</v>
      </c>
      <c r="F116" s="182" t="s">
        <v>59</v>
      </c>
      <c r="G116" s="262"/>
      <c r="H116" s="104">
        <f>H117</f>
        <v>1</v>
      </c>
      <c r="I116" s="143"/>
      <c r="J116" s="105"/>
      <c r="K116" s="184">
        <f>J116</f>
        <v>0</v>
      </c>
      <c r="L116" s="184"/>
      <c r="M116" s="112">
        <f>J116*H116</f>
        <v>0</v>
      </c>
      <c r="N116" s="130">
        <f>M116</f>
        <v>0</v>
      </c>
      <c r="P116" s="185" t="s">
        <v>211</v>
      </c>
      <c r="Z116" s="195"/>
    </row>
    <row r="117" spans="1:26" s="170" customFormat="1" ht="12.75" outlineLevel="1" x14ac:dyDescent="0.25">
      <c r="A117" s="187" t="s">
        <v>266</v>
      </c>
      <c r="B117" s="188"/>
      <c r="C117" s="189"/>
      <c r="D117" s="206" t="s">
        <v>121</v>
      </c>
      <c r="E117" s="191" t="s">
        <v>128</v>
      </c>
      <c r="F117" s="192" t="s">
        <v>59</v>
      </c>
      <c r="G117" s="193">
        <v>1</v>
      </c>
      <c r="H117" s="103">
        <v>1</v>
      </c>
      <c r="I117" s="236"/>
      <c r="J117" s="113"/>
      <c r="K117" s="194">
        <f>I117</f>
        <v>0</v>
      </c>
      <c r="L117" s="194">
        <f>I117*H117</f>
        <v>0</v>
      </c>
      <c r="M117" s="114"/>
      <c r="N117" s="131">
        <f>L117</f>
        <v>0</v>
      </c>
      <c r="P117" s="132"/>
      <c r="Z117" s="195"/>
    </row>
    <row r="118" spans="1:26" s="170" customFormat="1" ht="76.5" outlineLevel="1" x14ac:dyDescent="0.25">
      <c r="A118" s="178" t="s">
        <v>267</v>
      </c>
      <c r="B118" s="179" t="s">
        <v>122</v>
      </c>
      <c r="C118" s="179"/>
      <c r="D118" s="180" t="s">
        <v>217</v>
      </c>
      <c r="E118" s="181" t="s">
        <v>6</v>
      </c>
      <c r="F118" s="182" t="s">
        <v>124</v>
      </c>
      <c r="G118" s="262"/>
      <c r="H118" s="104">
        <f>55</f>
        <v>55</v>
      </c>
      <c r="I118" s="143"/>
      <c r="J118" s="105"/>
      <c r="K118" s="184">
        <f>J118</f>
        <v>0</v>
      </c>
      <c r="L118" s="184"/>
      <c r="M118" s="112">
        <f>J118*H118</f>
        <v>0</v>
      </c>
      <c r="N118" s="130">
        <f>M118</f>
        <v>0</v>
      </c>
      <c r="P118" s="201" t="s">
        <v>201</v>
      </c>
      <c r="Z118" s="195"/>
    </row>
    <row r="119" spans="1:26" s="170" customFormat="1" ht="38.25" outlineLevel="1" x14ac:dyDescent="0.25">
      <c r="A119" s="218" t="s">
        <v>268</v>
      </c>
      <c r="B119" s="202"/>
      <c r="C119" s="203"/>
      <c r="D119" s="219" t="s">
        <v>123</v>
      </c>
      <c r="E119" s="191" t="s">
        <v>128</v>
      </c>
      <c r="F119" s="212" t="s">
        <v>124</v>
      </c>
      <c r="G119" s="193">
        <v>1.03</v>
      </c>
      <c r="H119" s="103">
        <f>ROUND(55*G119,0)</f>
        <v>57</v>
      </c>
      <c r="I119" s="236"/>
      <c r="J119" s="133"/>
      <c r="K119" s="194">
        <f>I119</f>
        <v>0</v>
      </c>
      <c r="L119" s="194">
        <f>I119*H119</f>
        <v>0</v>
      </c>
      <c r="M119" s="114"/>
      <c r="N119" s="131">
        <f>L119</f>
        <v>0</v>
      </c>
      <c r="P119" s="132"/>
      <c r="Z119" s="195"/>
    </row>
    <row r="120" spans="1:26" s="170" customFormat="1" ht="76.5" outlineLevel="1" x14ac:dyDescent="0.25">
      <c r="A120" s="178" t="s">
        <v>269</v>
      </c>
      <c r="B120" s="179" t="s">
        <v>122</v>
      </c>
      <c r="C120" s="179"/>
      <c r="D120" s="180" t="s">
        <v>213</v>
      </c>
      <c r="E120" s="181" t="s">
        <v>6</v>
      </c>
      <c r="F120" s="182" t="s">
        <v>124</v>
      </c>
      <c r="G120" s="262"/>
      <c r="H120" s="104">
        <f>19+11+17+18</f>
        <v>65</v>
      </c>
      <c r="I120" s="143"/>
      <c r="J120" s="105"/>
      <c r="K120" s="184">
        <f>J120</f>
        <v>0</v>
      </c>
      <c r="L120" s="184"/>
      <c r="M120" s="112">
        <f>J120*H120</f>
        <v>0</v>
      </c>
      <c r="N120" s="130">
        <f>M120</f>
        <v>0</v>
      </c>
      <c r="P120" s="201" t="s">
        <v>201</v>
      </c>
      <c r="Z120" s="195"/>
    </row>
    <row r="121" spans="1:26" s="170" customFormat="1" ht="38.25" outlineLevel="1" x14ac:dyDescent="0.25">
      <c r="A121" s="218" t="s">
        <v>270</v>
      </c>
      <c r="B121" s="202"/>
      <c r="C121" s="203"/>
      <c r="D121" s="219" t="s">
        <v>123</v>
      </c>
      <c r="E121" s="191" t="s">
        <v>128</v>
      </c>
      <c r="F121" s="212" t="s">
        <v>124</v>
      </c>
      <c r="G121" s="193">
        <v>1.03</v>
      </c>
      <c r="H121" s="103">
        <f>ROUND((19+17+18)*G121,0)</f>
        <v>56</v>
      </c>
      <c r="I121" s="236"/>
      <c r="J121" s="133"/>
      <c r="K121" s="194">
        <f>I121</f>
        <v>0</v>
      </c>
      <c r="L121" s="194">
        <f>I121*H121</f>
        <v>0</v>
      </c>
      <c r="M121" s="114"/>
      <c r="N121" s="131">
        <f>L121</f>
        <v>0</v>
      </c>
      <c r="P121" s="132"/>
      <c r="Z121" s="195"/>
    </row>
    <row r="122" spans="1:26" s="170" customFormat="1" ht="38.25" outlineLevel="1" x14ac:dyDescent="0.25">
      <c r="A122" s="218" t="s">
        <v>271</v>
      </c>
      <c r="B122" s="202"/>
      <c r="C122" s="203"/>
      <c r="D122" s="219" t="s">
        <v>137</v>
      </c>
      <c r="E122" s="191" t="s">
        <v>128</v>
      </c>
      <c r="F122" s="212" t="s">
        <v>124</v>
      </c>
      <c r="G122" s="193">
        <v>1.03</v>
      </c>
      <c r="H122" s="103">
        <f>ROUND(11*G122,0)</f>
        <v>11</v>
      </c>
      <c r="I122" s="236"/>
      <c r="J122" s="133"/>
      <c r="K122" s="194">
        <f t="shared" ref="K122:K123" si="50">I122</f>
        <v>0</v>
      </c>
      <c r="L122" s="194">
        <f t="shared" ref="L122:L123" si="51">I122*H122</f>
        <v>0</v>
      </c>
      <c r="M122" s="114"/>
      <c r="N122" s="131">
        <f t="shared" ref="N122:N123" si="52">L122</f>
        <v>0</v>
      </c>
      <c r="P122" s="132"/>
      <c r="Z122" s="195"/>
    </row>
    <row r="123" spans="1:26" s="170" customFormat="1" ht="12.75" outlineLevel="1" x14ac:dyDescent="0.25">
      <c r="A123" s="218" t="s">
        <v>272</v>
      </c>
      <c r="B123" s="202"/>
      <c r="C123" s="203"/>
      <c r="D123" s="219" t="s">
        <v>125</v>
      </c>
      <c r="E123" s="191" t="s">
        <v>128</v>
      </c>
      <c r="F123" s="212" t="s">
        <v>124</v>
      </c>
      <c r="G123" s="193">
        <v>1.1000000000000001</v>
      </c>
      <c r="H123" s="103">
        <f>ROUND(65*G123,0)</f>
        <v>72</v>
      </c>
      <c r="I123" s="236"/>
      <c r="J123" s="133"/>
      <c r="K123" s="194">
        <f t="shared" si="50"/>
        <v>0</v>
      </c>
      <c r="L123" s="194">
        <f t="shared" si="51"/>
        <v>0</v>
      </c>
      <c r="M123" s="114"/>
      <c r="N123" s="131">
        <f t="shared" si="52"/>
        <v>0</v>
      </c>
      <c r="P123" s="132"/>
      <c r="Z123" s="195"/>
    </row>
    <row r="124" spans="1:26" s="170" customFormat="1" ht="76.5" outlineLevel="1" x14ac:dyDescent="0.25">
      <c r="A124" s="178" t="s">
        <v>273</v>
      </c>
      <c r="B124" s="179" t="s">
        <v>122</v>
      </c>
      <c r="C124" s="179"/>
      <c r="D124" s="180" t="s">
        <v>206</v>
      </c>
      <c r="E124" s="181" t="s">
        <v>6</v>
      </c>
      <c r="F124" s="182" t="s">
        <v>124</v>
      </c>
      <c r="G124" s="262"/>
      <c r="H124" s="104">
        <f>4</f>
        <v>4</v>
      </c>
      <c r="I124" s="143"/>
      <c r="J124" s="105"/>
      <c r="K124" s="184">
        <f>J124</f>
        <v>0</v>
      </c>
      <c r="L124" s="184"/>
      <c r="M124" s="112">
        <f>J124*H124</f>
        <v>0</v>
      </c>
      <c r="N124" s="130">
        <f>M124</f>
        <v>0</v>
      </c>
      <c r="P124" s="201" t="s">
        <v>201</v>
      </c>
      <c r="Z124" s="195"/>
    </row>
    <row r="125" spans="1:26" s="170" customFormat="1" ht="38.25" outlineLevel="1" x14ac:dyDescent="0.25">
      <c r="A125" s="218" t="s">
        <v>274</v>
      </c>
      <c r="B125" s="202"/>
      <c r="C125" s="203"/>
      <c r="D125" s="219" t="s">
        <v>123</v>
      </c>
      <c r="E125" s="191" t="s">
        <v>128</v>
      </c>
      <c r="F125" s="212" t="s">
        <v>124</v>
      </c>
      <c r="G125" s="193">
        <v>1.03</v>
      </c>
      <c r="H125" s="103">
        <f>ROUND(4*G125,0)</f>
        <v>4</v>
      </c>
      <c r="I125" s="236"/>
      <c r="J125" s="133"/>
      <c r="K125" s="194">
        <f>I125</f>
        <v>0</v>
      </c>
      <c r="L125" s="194">
        <f>I125*H125</f>
        <v>0</v>
      </c>
      <c r="M125" s="114"/>
      <c r="N125" s="131">
        <f>L125</f>
        <v>0</v>
      </c>
      <c r="P125" s="132"/>
      <c r="Z125" s="195"/>
    </row>
    <row r="126" spans="1:26" s="170" customFormat="1" ht="12.75" x14ac:dyDescent="0.25">
      <c r="A126" s="171">
        <v>6</v>
      </c>
      <c r="B126" s="172"/>
      <c r="C126" s="172"/>
      <c r="D126" s="173" t="s">
        <v>190</v>
      </c>
      <c r="E126" s="125"/>
      <c r="F126" s="174"/>
      <c r="G126" s="175"/>
      <c r="H126" s="128"/>
      <c r="I126" s="240"/>
      <c r="J126" s="126"/>
      <c r="K126" s="176"/>
      <c r="L126" s="176"/>
      <c r="M126" s="127"/>
      <c r="N126" s="129"/>
      <c r="P126" s="132"/>
    </row>
    <row r="127" spans="1:26" s="170" customFormat="1" ht="25.5" outlineLevel="1" x14ac:dyDescent="0.25">
      <c r="A127" s="178" t="s">
        <v>275</v>
      </c>
      <c r="B127" s="179" t="s">
        <v>187</v>
      </c>
      <c r="C127" s="179"/>
      <c r="D127" s="180" t="s">
        <v>189</v>
      </c>
      <c r="E127" s="181" t="s">
        <v>6</v>
      </c>
      <c r="F127" s="182" t="s">
        <v>124</v>
      </c>
      <c r="G127" s="183"/>
      <c r="H127" s="104">
        <f>H128</f>
        <v>46</v>
      </c>
      <c r="I127" s="143"/>
      <c r="J127" s="105"/>
      <c r="K127" s="184">
        <f>J127</f>
        <v>0</v>
      </c>
      <c r="L127" s="184"/>
      <c r="M127" s="112">
        <f>J127*H127</f>
        <v>0</v>
      </c>
      <c r="N127" s="130">
        <f>M127</f>
        <v>0</v>
      </c>
      <c r="P127" s="185" t="s">
        <v>211</v>
      </c>
      <c r="Z127" s="195"/>
    </row>
    <row r="128" spans="1:26" s="170" customFormat="1" ht="25.5" outlineLevel="1" x14ac:dyDescent="0.25">
      <c r="A128" s="218" t="s">
        <v>276</v>
      </c>
      <c r="B128" s="202"/>
      <c r="C128" s="203"/>
      <c r="D128" s="219" t="s">
        <v>188</v>
      </c>
      <c r="E128" s="191" t="s">
        <v>128</v>
      </c>
      <c r="F128" s="212" t="s">
        <v>124</v>
      </c>
      <c r="G128" s="193">
        <v>1</v>
      </c>
      <c r="H128" s="103">
        <v>46</v>
      </c>
      <c r="I128" s="236"/>
      <c r="J128" s="133"/>
      <c r="K128" s="194">
        <f>I128</f>
        <v>0</v>
      </c>
      <c r="L128" s="194">
        <f>I128*H128</f>
        <v>0</v>
      </c>
      <c r="M128" s="114"/>
      <c r="N128" s="131">
        <f>L128</f>
        <v>0</v>
      </c>
      <c r="P128" s="132"/>
      <c r="Z128" s="195"/>
    </row>
    <row r="129" spans="1:26" s="170" customFormat="1" ht="12.75" outlineLevel="1" x14ac:dyDescent="0.25">
      <c r="A129" s="218" t="s">
        <v>277</v>
      </c>
      <c r="B129" s="202"/>
      <c r="C129" s="203"/>
      <c r="D129" s="219" t="s">
        <v>193</v>
      </c>
      <c r="E129" s="191" t="s">
        <v>128</v>
      </c>
      <c r="F129" s="212" t="s">
        <v>59</v>
      </c>
      <c r="G129" s="193">
        <v>1</v>
      </c>
      <c r="H129" s="103">
        <f>ROUNDUP($H$128/2,0)</f>
        <v>23</v>
      </c>
      <c r="I129" s="236"/>
      <c r="J129" s="133"/>
      <c r="K129" s="194">
        <f>I129</f>
        <v>0</v>
      </c>
      <c r="L129" s="194">
        <f>I129*H129</f>
        <v>0</v>
      </c>
      <c r="M129" s="114"/>
      <c r="N129" s="131">
        <f>L129</f>
        <v>0</v>
      </c>
      <c r="P129" s="132"/>
      <c r="Z129" s="195"/>
    </row>
    <row r="130" spans="1:26" s="170" customFormat="1" ht="12.75" outlineLevel="1" x14ac:dyDescent="0.25">
      <c r="A130" s="218" t="s">
        <v>278</v>
      </c>
      <c r="B130" s="202"/>
      <c r="C130" s="203"/>
      <c r="D130" s="219" t="s">
        <v>196</v>
      </c>
      <c r="E130" s="191" t="s">
        <v>128</v>
      </c>
      <c r="F130" s="212" t="s">
        <v>59</v>
      </c>
      <c r="G130" s="193">
        <v>1</v>
      </c>
      <c r="H130" s="103">
        <f t="shared" ref="H130:H132" si="53">ROUNDUP($H$128/2,0)</f>
        <v>23</v>
      </c>
      <c r="I130" s="236"/>
      <c r="J130" s="133"/>
      <c r="K130" s="194">
        <f>I130</f>
        <v>0</v>
      </c>
      <c r="L130" s="194">
        <f>I130*H130</f>
        <v>0</v>
      </c>
      <c r="M130" s="114"/>
      <c r="N130" s="131">
        <f>L130</f>
        <v>0</v>
      </c>
      <c r="P130" s="132"/>
      <c r="Z130" s="195"/>
    </row>
    <row r="131" spans="1:26" s="170" customFormat="1" ht="12.75" outlineLevel="1" x14ac:dyDescent="0.25">
      <c r="A131" s="218" t="s">
        <v>300</v>
      </c>
      <c r="B131" s="202"/>
      <c r="C131" s="203"/>
      <c r="D131" s="219" t="s">
        <v>195</v>
      </c>
      <c r="E131" s="191" t="s">
        <v>128</v>
      </c>
      <c r="F131" s="212" t="s">
        <v>59</v>
      </c>
      <c r="G131" s="193">
        <v>1</v>
      </c>
      <c r="H131" s="103">
        <f t="shared" si="53"/>
        <v>23</v>
      </c>
      <c r="I131" s="236"/>
      <c r="J131" s="133"/>
      <c r="K131" s="194">
        <f>I131</f>
        <v>0</v>
      </c>
      <c r="L131" s="194">
        <f>I131*H131</f>
        <v>0</v>
      </c>
      <c r="M131" s="114"/>
      <c r="N131" s="131">
        <f>L131</f>
        <v>0</v>
      </c>
      <c r="P131" s="132"/>
      <c r="Z131" s="195"/>
    </row>
    <row r="132" spans="1:26" s="170" customFormat="1" ht="12.75" outlineLevel="1" x14ac:dyDescent="0.25">
      <c r="A132" s="218" t="s">
        <v>301</v>
      </c>
      <c r="B132" s="202"/>
      <c r="C132" s="203"/>
      <c r="D132" s="219" t="s">
        <v>194</v>
      </c>
      <c r="E132" s="191" t="s">
        <v>128</v>
      </c>
      <c r="F132" s="212" t="s">
        <v>59</v>
      </c>
      <c r="G132" s="193">
        <v>1</v>
      </c>
      <c r="H132" s="103">
        <f t="shared" si="53"/>
        <v>23</v>
      </c>
      <c r="I132" s="236"/>
      <c r="J132" s="133"/>
      <c r="K132" s="194">
        <f>I132</f>
        <v>0</v>
      </c>
      <c r="L132" s="194">
        <f>I132*H132</f>
        <v>0</v>
      </c>
      <c r="M132" s="114"/>
      <c r="N132" s="131">
        <f>L132</f>
        <v>0</v>
      </c>
      <c r="P132" s="132"/>
      <c r="Z132" s="195"/>
    </row>
    <row r="133" spans="1:26" s="170" customFormat="1" x14ac:dyDescent="0.25">
      <c r="A133" s="220"/>
      <c r="B133" s="221"/>
      <c r="C133" s="115"/>
      <c r="D133" s="273" t="s">
        <v>226</v>
      </c>
      <c r="E133" s="107"/>
      <c r="F133" s="107"/>
      <c r="G133" s="107"/>
      <c r="H133" s="108"/>
      <c r="I133" s="274"/>
      <c r="J133" s="275"/>
      <c r="K133" s="110"/>
      <c r="L133" s="119"/>
      <c r="M133" s="119"/>
      <c r="N133" s="119"/>
      <c r="P133" s="132"/>
      <c r="Z133" s="195"/>
    </row>
    <row r="134" spans="1:26" s="170" customFormat="1" ht="25.5" x14ac:dyDescent="0.25">
      <c r="A134" s="171">
        <v>7</v>
      </c>
      <c r="B134" s="172"/>
      <c r="C134" s="172"/>
      <c r="D134" s="173" t="s">
        <v>227</v>
      </c>
      <c r="E134" s="125"/>
      <c r="F134" s="174"/>
      <c r="G134" s="175"/>
      <c r="H134" s="128"/>
      <c r="I134" s="240"/>
      <c r="J134" s="126"/>
      <c r="K134" s="176"/>
      <c r="L134" s="176"/>
      <c r="M134" s="127"/>
      <c r="N134" s="129"/>
      <c r="P134" s="132"/>
      <c r="Z134" s="195"/>
    </row>
    <row r="135" spans="1:26" s="170" customFormat="1" ht="25.5" outlineLevel="1" x14ac:dyDescent="0.25">
      <c r="A135" s="214" t="s">
        <v>279</v>
      </c>
      <c r="B135" s="215" t="s">
        <v>229</v>
      </c>
      <c r="C135" s="215"/>
      <c r="D135" s="216" t="s">
        <v>227</v>
      </c>
      <c r="E135" s="181" t="s">
        <v>6</v>
      </c>
      <c r="F135" s="217" t="s">
        <v>141</v>
      </c>
      <c r="G135" s="183"/>
      <c r="H135" s="104">
        <v>1</v>
      </c>
      <c r="I135" s="143"/>
      <c r="J135" s="144"/>
      <c r="K135" s="145">
        <f>J135</f>
        <v>0</v>
      </c>
      <c r="L135" s="145"/>
      <c r="M135" s="146">
        <f>J135*H135</f>
        <v>0</v>
      </c>
      <c r="N135" s="147">
        <f>M135</f>
        <v>0</v>
      </c>
      <c r="P135" s="185" t="s">
        <v>211</v>
      </c>
      <c r="Z135" s="195"/>
    </row>
    <row r="136" spans="1:26" s="149" customFormat="1" x14ac:dyDescent="0.2">
      <c r="A136" s="220"/>
      <c r="B136" s="221"/>
      <c r="C136" s="115"/>
      <c r="D136" s="115" t="s">
        <v>27</v>
      </c>
      <c r="E136" s="107"/>
      <c r="F136" s="107"/>
      <c r="G136" s="107"/>
      <c r="H136" s="108"/>
      <c r="I136" s="109"/>
      <c r="J136" s="110"/>
      <c r="K136" s="110"/>
      <c r="L136" s="119">
        <f>SUM(L15:L135)</f>
        <v>0</v>
      </c>
      <c r="M136" s="119">
        <f t="shared" ref="M136:N136" si="54">SUM(M15:M135)</f>
        <v>0</v>
      </c>
      <c r="N136" s="119">
        <f t="shared" si="54"/>
        <v>0</v>
      </c>
      <c r="P136" s="177"/>
    </row>
    <row r="137" spans="1:26" ht="15.75" thickBot="1" x14ac:dyDescent="0.3">
      <c r="A137" s="222"/>
      <c r="B137" s="223"/>
      <c r="C137" s="116"/>
      <c r="D137" s="116" t="s">
        <v>74</v>
      </c>
      <c r="E137" s="116"/>
      <c r="F137" s="116"/>
      <c r="G137" s="139"/>
      <c r="H137" s="124"/>
      <c r="I137" s="141"/>
      <c r="J137" s="116"/>
      <c r="K137" s="116"/>
      <c r="L137" s="118"/>
      <c r="M137" s="118"/>
      <c r="N137" s="117">
        <f>N136/1.22*0.22</f>
        <v>0</v>
      </c>
      <c r="P137" s="177"/>
    </row>
    <row r="138" spans="1:26" s="227" customFormat="1" x14ac:dyDescent="0.25">
      <c r="A138" s="224" t="s">
        <v>75</v>
      </c>
      <c r="B138" s="225"/>
      <c r="C138" s="225"/>
      <c r="D138" s="225"/>
      <c r="E138" s="225"/>
      <c r="F138" s="225"/>
      <c r="G138" s="225"/>
      <c r="H138" s="225"/>
      <c r="I138" s="225"/>
      <c r="J138" s="225"/>
      <c r="K138" s="225"/>
      <c r="L138" s="225"/>
      <c r="M138" s="225"/>
      <c r="N138" s="226"/>
      <c r="P138" s="177"/>
    </row>
    <row r="139" spans="1:26" s="227" customFormat="1" x14ac:dyDescent="0.25">
      <c r="A139" s="241" t="s">
        <v>12</v>
      </c>
      <c r="B139" s="242"/>
      <c r="C139" s="242"/>
      <c r="D139" s="243" t="s">
        <v>76</v>
      </c>
      <c r="E139" s="242"/>
      <c r="F139" s="242"/>
      <c r="G139" s="242"/>
      <c r="H139" s="242"/>
      <c r="I139" s="242"/>
      <c r="J139" s="242"/>
      <c r="K139" s="242"/>
      <c r="L139" s="242"/>
      <c r="M139" s="242"/>
      <c r="N139" s="244"/>
      <c r="P139" s="177"/>
    </row>
    <row r="140" spans="1:26" s="228" customFormat="1" x14ac:dyDescent="0.25">
      <c r="A140" s="241" t="s">
        <v>7</v>
      </c>
      <c r="B140" s="242"/>
      <c r="C140" s="242"/>
      <c r="D140" s="243" t="s">
        <v>77</v>
      </c>
      <c r="E140" s="242"/>
      <c r="F140" s="242"/>
      <c r="G140" s="242"/>
      <c r="H140" s="242"/>
      <c r="I140" s="242"/>
      <c r="J140" s="242"/>
      <c r="K140" s="242"/>
      <c r="L140" s="242"/>
      <c r="M140" s="242"/>
      <c r="N140" s="244"/>
      <c r="P140" s="177"/>
    </row>
    <row r="141" spans="1:26" s="228" customFormat="1" x14ac:dyDescent="0.25">
      <c r="A141" s="241" t="s">
        <v>60</v>
      </c>
      <c r="B141" s="242"/>
      <c r="C141" s="242"/>
      <c r="D141" s="243" t="s">
        <v>78</v>
      </c>
      <c r="E141" s="242"/>
      <c r="F141" s="242"/>
      <c r="G141" s="242"/>
      <c r="H141" s="242"/>
      <c r="I141" s="242"/>
      <c r="J141" s="242"/>
      <c r="K141" s="242"/>
      <c r="L141" s="242"/>
      <c r="M141" s="242"/>
      <c r="N141" s="244"/>
      <c r="P141" s="177"/>
    </row>
    <row r="142" spans="1:26" s="228" customFormat="1" ht="25.5" x14ac:dyDescent="0.25">
      <c r="A142" s="241" t="s">
        <v>61</v>
      </c>
      <c r="B142" s="242"/>
      <c r="C142" s="242"/>
      <c r="D142" s="243" t="s">
        <v>79</v>
      </c>
      <c r="E142" s="242"/>
      <c r="F142" s="242"/>
      <c r="G142" s="242"/>
      <c r="H142" s="242"/>
      <c r="I142" s="242"/>
      <c r="J142" s="242"/>
      <c r="K142" s="242"/>
      <c r="L142" s="242"/>
      <c r="M142" s="242"/>
      <c r="N142" s="244"/>
      <c r="P142" s="276"/>
    </row>
    <row r="143" spans="1:26" s="227" customFormat="1" x14ac:dyDescent="0.25">
      <c r="A143" s="245" t="s">
        <v>62</v>
      </c>
      <c r="B143" s="246"/>
      <c r="C143" s="246"/>
      <c r="D143" s="243" t="s">
        <v>80</v>
      </c>
      <c r="E143" s="247"/>
      <c r="F143" s="247"/>
      <c r="G143" s="247"/>
      <c r="H143" s="247"/>
      <c r="I143" s="248"/>
      <c r="J143" s="248"/>
      <c r="K143" s="248"/>
      <c r="L143" s="248"/>
      <c r="M143" s="248"/>
      <c r="N143" s="249"/>
      <c r="P143" s="177"/>
    </row>
    <row r="144" spans="1:26" s="227" customFormat="1" ht="15.75" x14ac:dyDescent="0.25">
      <c r="A144" s="241" t="s">
        <v>87</v>
      </c>
      <c r="B144" s="120"/>
      <c r="C144" s="120"/>
      <c r="D144" s="243" t="s">
        <v>81</v>
      </c>
      <c r="E144" s="121"/>
      <c r="F144" s="121"/>
      <c r="G144" s="120"/>
      <c r="H144" s="122"/>
      <c r="I144" s="121"/>
      <c r="J144" s="121"/>
      <c r="K144" s="120"/>
      <c r="L144" s="120"/>
      <c r="M144" s="121"/>
      <c r="N144" s="123"/>
      <c r="P144" s="177"/>
    </row>
    <row r="145" spans="1:16" x14ac:dyDescent="0.25">
      <c r="A145" s="250">
        <v>7</v>
      </c>
      <c r="B145" s="251"/>
      <c r="C145" s="251"/>
      <c r="D145" s="243" t="s">
        <v>82</v>
      </c>
      <c r="E145" s="252"/>
      <c r="F145" s="251"/>
      <c r="G145" s="251"/>
      <c r="H145" s="253"/>
      <c r="I145" s="253"/>
      <c r="J145" s="251"/>
      <c r="K145" s="251"/>
      <c r="L145" s="251"/>
      <c r="M145" s="251"/>
      <c r="N145" s="254"/>
      <c r="P145" s="177"/>
    </row>
    <row r="146" spans="1:16" x14ac:dyDescent="0.25">
      <c r="A146" s="250">
        <v>8</v>
      </c>
      <c r="B146" s="251"/>
      <c r="C146" s="251"/>
      <c r="D146" s="243" t="s">
        <v>83</v>
      </c>
      <c r="E146" s="252"/>
      <c r="F146" s="251"/>
      <c r="G146" s="251"/>
      <c r="H146" s="253"/>
      <c r="I146" s="253"/>
      <c r="J146" s="251"/>
      <c r="K146" s="251"/>
      <c r="L146" s="251"/>
      <c r="M146" s="251"/>
      <c r="N146" s="254"/>
      <c r="P146" s="177"/>
    </row>
    <row r="147" spans="1:16" x14ac:dyDescent="0.25">
      <c r="A147" s="250">
        <v>9</v>
      </c>
      <c r="B147" s="251"/>
      <c r="C147" s="251"/>
      <c r="D147" s="243" t="s">
        <v>84</v>
      </c>
      <c r="E147" s="252"/>
      <c r="F147" s="251"/>
      <c r="G147" s="251"/>
      <c r="H147" s="253"/>
      <c r="I147" s="253"/>
      <c r="J147" s="251"/>
      <c r="K147" s="251"/>
      <c r="L147" s="251"/>
      <c r="M147" s="251"/>
      <c r="N147" s="254"/>
      <c r="P147" s="177"/>
    </row>
    <row r="148" spans="1:16" x14ac:dyDescent="0.25">
      <c r="A148" s="250">
        <v>10</v>
      </c>
      <c r="B148" s="251"/>
      <c r="C148" s="251"/>
      <c r="D148" s="255" t="s">
        <v>85</v>
      </c>
      <c r="E148" s="252"/>
      <c r="F148" s="251"/>
      <c r="G148" s="251"/>
      <c r="H148" s="253"/>
      <c r="I148" s="253"/>
      <c r="J148" s="251"/>
      <c r="K148" s="251"/>
      <c r="L148" s="251"/>
      <c r="M148" s="251"/>
      <c r="N148" s="254"/>
      <c r="P148" s="177"/>
    </row>
    <row r="149" spans="1:16" ht="15.75" thickBot="1" x14ac:dyDescent="0.3">
      <c r="A149" s="256">
        <v>11</v>
      </c>
      <c r="B149" s="257"/>
      <c r="C149" s="257"/>
      <c r="D149" s="258" t="s">
        <v>86</v>
      </c>
      <c r="E149" s="259"/>
      <c r="F149" s="257"/>
      <c r="G149" s="257"/>
      <c r="H149" s="260"/>
      <c r="I149" s="260"/>
      <c r="J149" s="257"/>
      <c r="K149" s="257"/>
      <c r="L149" s="257"/>
      <c r="M149" s="257"/>
      <c r="N149" s="261"/>
      <c r="P149" s="177"/>
    </row>
    <row r="150" spans="1:16" x14ac:dyDescent="0.25">
      <c r="P150" s="233"/>
    </row>
    <row r="151" spans="1:16" x14ac:dyDescent="0.25">
      <c r="P151" s="233"/>
    </row>
    <row r="152" spans="1:16" x14ac:dyDescent="0.25">
      <c r="P152" s="233"/>
    </row>
    <row r="153" spans="1:16" x14ac:dyDescent="0.25">
      <c r="P153" s="233"/>
    </row>
    <row r="154" spans="1:16" x14ac:dyDescent="0.25">
      <c r="P154" s="234"/>
    </row>
    <row r="155" spans="1:16" x14ac:dyDescent="0.25">
      <c r="P155" s="233"/>
    </row>
    <row r="156" spans="1:16" x14ac:dyDescent="0.25">
      <c r="P156" s="233"/>
    </row>
    <row r="157" spans="1:16" x14ac:dyDescent="0.25">
      <c r="P157" s="233"/>
    </row>
    <row r="158" spans="1:16" x14ac:dyDescent="0.25">
      <c r="P158" s="233"/>
    </row>
    <row r="159" spans="1:16" x14ac:dyDescent="0.25">
      <c r="P159" s="233"/>
    </row>
    <row r="160" spans="1:16" x14ac:dyDescent="0.25">
      <c r="P160" s="233"/>
    </row>
    <row r="161" spans="16:16" x14ac:dyDescent="0.25">
      <c r="P161" s="233"/>
    </row>
    <row r="162" spans="16:16" x14ac:dyDescent="0.25">
      <c r="P162" s="233"/>
    </row>
    <row r="163" spans="16:16" x14ac:dyDescent="0.25">
      <c r="P163" s="233"/>
    </row>
    <row r="164" spans="16:16" x14ac:dyDescent="0.25">
      <c r="P164" s="233"/>
    </row>
    <row r="165" spans="16:16" x14ac:dyDescent="0.25">
      <c r="P165" s="233"/>
    </row>
    <row r="166" spans="16:16" x14ac:dyDescent="0.25">
      <c r="P166" s="233"/>
    </row>
    <row r="167" spans="16:16" x14ac:dyDescent="0.25">
      <c r="P167" s="233"/>
    </row>
    <row r="168" spans="16:16" x14ac:dyDescent="0.25">
      <c r="P168" s="233"/>
    </row>
    <row r="169" spans="16:16" x14ac:dyDescent="0.25">
      <c r="P169" s="233"/>
    </row>
    <row r="170" spans="16:16" x14ac:dyDescent="0.25">
      <c r="P170" s="233"/>
    </row>
    <row r="171" spans="16:16" x14ac:dyDescent="0.25">
      <c r="P171" s="234"/>
    </row>
    <row r="172" spans="16:16" x14ac:dyDescent="0.25">
      <c r="P172" s="233"/>
    </row>
    <row r="173" spans="16:16" x14ac:dyDescent="0.25">
      <c r="P173" s="233"/>
    </row>
    <row r="174" spans="16:16" x14ac:dyDescent="0.25">
      <c r="P174" s="233"/>
    </row>
    <row r="175" spans="16:16" x14ac:dyDescent="0.25">
      <c r="P175" s="233"/>
    </row>
    <row r="176" spans="16:16" x14ac:dyDescent="0.25">
      <c r="P176" s="233"/>
    </row>
    <row r="177" spans="16:16" x14ac:dyDescent="0.25">
      <c r="P177" s="234"/>
    </row>
    <row r="178" spans="16:16" x14ac:dyDescent="0.25">
      <c r="P178" s="233"/>
    </row>
    <row r="179" spans="16:16" x14ac:dyDescent="0.25">
      <c r="P179" s="233"/>
    </row>
    <row r="180" spans="16:16" x14ac:dyDescent="0.25">
      <c r="P180" s="233"/>
    </row>
    <row r="181" spans="16:16" x14ac:dyDescent="0.25">
      <c r="P181" s="234"/>
    </row>
    <row r="182" spans="16:16" x14ac:dyDescent="0.25">
      <c r="P182" s="233"/>
    </row>
    <row r="183" spans="16:16" x14ac:dyDescent="0.25">
      <c r="P183" s="233"/>
    </row>
    <row r="184" spans="16:16" x14ac:dyDescent="0.25">
      <c r="P184" s="233"/>
    </row>
    <row r="185" spans="16:16" x14ac:dyDescent="0.25">
      <c r="P185" s="233"/>
    </row>
    <row r="186" spans="16:16" x14ac:dyDescent="0.25">
      <c r="P186" s="233"/>
    </row>
    <row r="187" spans="16:16" x14ac:dyDescent="0.25">
      <c r="P187" s="234"/>
    </row>
    <row r="188" spans="16:16" x14ac:dyDescent="0.25">
      <c r="P188" s="233"/>
    </row>
    <row r="189" spans="16:16" x14ac:dyDescent="0.25">
      <c r="P189" s="233"/>
    </row>
    <row r="190" spans="16:16" x14ac:dyDescent="0.25">
      <c r="P190" s="233"/>
    </row>
    <row r="191" spans="16:16" x14ac:dyDescent="0.25">
      <c r="P191" s="233"/>
    </row>
    <row r="192" spans="16:16" x14ac:dyDescent="0.25">
      <c r="P192" s="233"/>
    </row>
    <row r="193" spans="16:16" x14ac:dyDescent="0.25">
      <c r="P193" s="233"/>
    </row>
    <row r="194" spans="16:16" x14ac:dyDescent="0.25">
      <c r="P194" s="233"/>
    </row>
    <row r="195" spans="16:16" x14ac:dyDescent="0.25">
      <c r="P195" s="233"/>
    </row>
    <row r="196" spans="16:16" x14ac:dyDescent="0.25">
      <c r="P196" s="233"/>
    </row>
    <row r="197" spans="16:16" x14ac:dyDescent="0.25">
      <c r="P197" s="233"/>
    </row>
    <row r="198" spans="16:16" x14ac:dyDescent="0.25">
      <c r="P198" s="233"/>
    </row>
    <row r="199" spans="16:16" x14ac:dyDescent="0.25">
      <c r="P199" s="233"/>
    </row>
    <row r="200" spans="16:16" x14ac:dyDescent="0.25">
      <c r="P200" s="233"/>
    </row>
    <row r="201" spans="16:16" x14ac:dyDescent="0.25">
      <c r="P201" s="233"/>
    </row>
    <row r="202" spans="16:16" x14ac:dyDescent="0.25">
      <c r="P202" s="233"/>
    </row>
    <row r="203" spans="16:16" x14ac:dyDescent="0.25">
      <c r="P203" s="233"/>
    </row>
    <row r="204" spans="16:16" x14ac:dyDescent="0.25">
      <c r="P204" s="233"/>
    </row>
    <row r="205" spans="16:16" x14ac:dyDescent="0.25">
      <c r="P205" s="233"/>
    </row>
    <row r="206" spans="16:16" x14ac:dyDescent="0.25">
      <c r="P206" s="233"/>
    </row>
    <row r="207" spans="16:16" x14ac:dyDescent="0.25">
      <c r="P207" s="233"/>
    </row>
    <row r="208" spans="16:16" x14ac:dyDescent="0.25">
      <c r="P208" s="233"/>
    </row>
    <row r="209" spans="16:16" x14ac:dyDescent="0.25">
      <c r="P209" s="233"/>
    </row>
    <row r="210" spans="16:16" x14ac:dyDescent="0.25">
      <c r="P210" s="233"/>
    </row>
    <row r="211" spans="16:16" x14ac:dyDescent="0.25">
      <c r="P211" s="233"/>
    </row>
    <row r="212" spans="16:16" x14ac:dyDescent="0.25">
      <c r="P212" s="233"/>
    </row>
    <row r="213" spans="16:16" x14ac:dyDescent="0.25">
      <c r="P213" s="233"/>
    </row>
    <row r="214" spans="16:16" x14ac:dyDescent="0.25">
      <c r="P214" s="233"/>
    </row>
    <row r="215" spans="16:16" x14ac:dyDescent="0.25">
      <c r="P215" s="233"/>
    </row>
    <row r="216" spans="16:16" x14ac:dyDescent="0.25">
      <c r="P216" s="233"/>
    </row>
    <row r="217" spans="16:16" x14ac:dyDescent="0.25">
      <c r="P217" s="233"/>
    </row>
    <row r="218" spans="16:16" x14ac:dyDescent="0.25">
      <c r="P218" s="233"/>
    </row>
    <row r="219" spans="16:16" x14ac:dyDescent="0.25">
      <c r="P219" s="233"/>
    </row>
    <row r="220" spans="16:16" x14ac:dyDescent="0.25">
      <c r="P220" s="233"/>
    </row>
    <row r="221" spans="16:16" x14ac:dyDescent="0.25">
      <c r="P221" s="233"/>
    </row>
    <row r="222" spans="16:16" x14ac:dyDescent="0.25">
      <c r="P222" s="233"/>
    </row>
    <row r="223" spans="16:16" x14ac:dyDescent="0.25">
      <c r="P223" s="233"/>
    </row>
    <row r="224" spans="16:16" x14ac:dyDescent="0.25">
      <c r="P224" s="233"/>
    </row>
    <row r="225" spans="16:16" x14ac:dyDescent="0.25">
      <c r="P225" s="233"/>
    </row>
    <row r="226" spans="16:16" x14ac:dyDescent="0.25">
      <c r="P226" s="233"/>
    </row>
    <row r="227" spans="16:16" x14ac:dyDescent="0.25">
      <c r="P227" s="233"/>
    </row>
    <row r="228" spans="16:16" x14ac:dyDescent="0.25">
      <c r="P228" s="233"/>
    </row>
    <row r="229" spans="16:16" x14ac:dyDescent="0.25">
      <c r="P229" s="233"/>
    </row>
    <row r="230" spans="16:16" x14ac:dyDescent="0.25">
      <c r="P230" s="233"/>
    </row>
    <row r="231" spans="16:16" x14ac:dyDescent="0.25">
      <c r="P231" s="233"/>
    </row>
    <row r="232" spans="16:16" x14ac:dyDescent="0.25">
      <c r="P232" s="233"/>
    </row>
    <row r="233" spans="16:16" x14ac:dyDescent="0.25">
      <c r="P233" s="233"/>
    </row>
    <row r="234" spans="16:16" x14ac:dyDescent="0.25">
      <c r="P234" s="233"/>
    </row>
    <row r="235" spans="16:16" x14ac:dyDescent="0.25">
      <c r="P235" s="233"/>
    </row>
    <row r="236" spans="16:16" x14ac:dyDescent="0.25">
      <c r="P236" s="233"/>
    </row>
    <row r="237" spans="16:16" x14ac:dyDescent="0.25">
      <c r="P237" s="233"/>
    </row>
    <row r="238" spans="16:16" x14ac:dyDescent="0.25">
      <c r="P238" s="233"/>
    </row>
    <row r="239" spans="16:16" x14ac:dyDescent="0.25">
      <c r="P239" s="233"/>
    </row>
    <row r="240" spans="16:16" x14ac:dyDescent="0.25">
      <c r="P240" s="233"/>
    </row>
    <row r="241" spans="16:16" x14ac:dyDescent="0.25">
      <c r="P241" s="233"/>
    </row>
    <row r="242" spans="16:16" x14ac:dyDescent="0.25">
      <c r="P242" s="233"/>
    </row>
    <row r="243" spans="16:16" x14ac:dyDescent="0.25">
      <c r="P243" s="233"/>
    </row>
    <row r="244" spans="16:16" x14ac:dyDescent="0.25">
      <c r="P244" s="233"/>
    </row>
    <row r="245" spans="16:16" x14ac:dyDescent="0.25">
      <c r="P245" s="233"/>
    </row>
    <row r="246" spans="16:16" x14ac:dyDescent="0.25">
      <c r="P246" s="233"/>
    </row>
    <row r="247" spans="16:16" x14ac:dyDescent="0.25">
      <c r="P247" s="233"/>
    </row>
    <row r="248" spans="16:16" x14ac:dyDescent="0.25">
      <c r="P248" s="233"/>
    </row>
    <row r="249" spans="16:16" x14ac:dyDescent="0.25">
      <c r="P249" s="233"/>
    </row>
    <row r="250" spans="16:16" x14ac:dyDescent="0.25">
      <c r="P250" s="233"/>
    </row>
    <row r="251" spans="16:16" x14ac:dyDescent="0.25">
      <c r="P251" s="233"/>
    </row>
    <row r="252" spans="16:16" x14ac:dyDescent="0.25">
      <c r="P252" s="233"/>
    </row>
    <row r="253" spans="16:16" x14ac:dyDescent="0.25">
      <c r="P253" s="233"/>
    </row>
    <row r="254" spans="16:16" x14ac:dyDescent="0.25">
      <c r="P254" s="233"/>
    </row>
    <row r="255" spans="16:16" x14ac:dyDescent="0.25">
      <c r="P255" s="233"/>
    </row>
    <row r="256" spans="16:16" x14ac:dyDescent="0.25">
      <c r="P256" s="233"/>
    </row>
    <row r="257" spans="16:16" x14ac:dyDescent="0.25">
      <c r="P257" s="233"/>
    </row>
    <row r="258" spans="16:16" x14ac:dyDescent="0.25">
      <c r="P258" s="233"/>
    </row>
    <row r="259" spans="16:16" x14ac:dyDescent="0.25">
      <c r="P259" s="233"/>
    </row>
    <row r="260" spans="16:16" x14ac:dyDescent="0.25">
      <c r="P260" s="233"/>
    </row>
    <row r="261" spans="16:16" x14ac:dyDescent="0.25">
      <c r="P261" s="233"/>
    </row>
    <row r="262" spans="16:16" x14ac:dyDescent="0.25">
      <c r="P262" s="233"/>
    </row>
    <row r="263" spans="16:16" x14ac:dyDescent="0.25">
      <c r="P263" s="233"/>
    </row>
    <row r="264" spans="16:16" x14ac:dyDescent="0.25">
      <c r="P264" s="233"/>
    </row>
    <row r="265" spans="16:16" x14ac:dyDescent="0.25">
      <c r="P265" s="233"/>
    </row>
    <row r="266" spans="16:16" x14ac:dyDescent="0.25">
      <c r="P266" s="233"/>
    </row>
    <row r="267" spans="16:16" x14ac:dyDescent="0.25">
      <c r="P267" s="233"/>
    </row>
    <row r="268" spans="16:16" x14ac:dyDescent="0.25">
      <c r="P268" s="233"/>
    </row>
    <row r="269" spans="16:16" x14ac:dyDescent="0.25">
      <c r="P269" s="233"/>
    </row>
    <row r="270" spans="16:16" x14ac:dyDescent="0.25">
      <c r="P270" s="233"/>
    </row>
    <row r="271" spans="16:16" x14ac:dyDescent="0.25">
      <c r="P271" s="233"/>
    </row>
    <row r="272" spans="16:16" x14ac:dyDescent="0.25">
      <c r="P272" s="233"/>
    </row>
    <row r="273" spans="16:16" x14ac:dyDescent="0.25">
      <c r="P273" s="233"/>
    </row>
    <row r="274" spans="16:16" x14ac:dyDescent="0.25">
      <c r="P274" s="233"/>
    </row>
    <row r="275" spans="16:16" x14ac:dyDescent="0.25">
      <c r="P275" s="233"/>
    </row>
    <row r="276" spans="16:16" x14ac:dyDescent="0.25">
      <c r="P276" s="233"/>
    </row>
    <row r="277" spans="16:16" x14ac:dyDescent="0.25">
      <c r="P277" s="233"/>
    </row>
    <row r="278" spans="16:16" x14ac:dyDescent="0.25">
      <c r="P278" s="233"/>
    </row>
    <row r="279" spans="16:16" x14ac:dyDescent="0.25">
      <c r="P279" s="233"/>
    </row>
    <row r="280" spans="16:16" x14ac:dyDescent="0.25">
      <c r="P280" s="233"/>
    </row>
    <row r="281" spans="16:16" x14ac:dyDescent="0.25">
      <c r="P281" s="233"/>
    </row>
    <row r="282" spans="16:16" x14ac:dyDescent="0.25">
      <c r="P282" s="233"/>
    </row>
    <row r="283" spans="16:16" x14ac:dyDescent="0.25">
      <c r="P283" s="233"/>
    </row>
    <row r="284" spans="16:16" x14ac:dyDescent="0.25">
      <c r="P284" s="233"/>
    </row>
    <row r="285" spans="16:16" x14ac:dyDescent="0.25">
      <c r="P285" s="233"/>
    </row>
    <row r="286" spans="16:16" x14ac:dyDescent="0.25">
      <c r="P286" s="233"/>
    </row>
    <row r="287" spans="16:16" x14ac:dyDescent="0.25">
      <c r="P287" s="233"/>
    </row>
    <row r="288" spans="16:16" x14ac:dyDescent="0.25">
      <c r="P288" s="233"/>
    </row>
    <row r="289" spans="16:16" x14ac:dyDescent="0.25">
      <c r="P289" s="233"/>
    </row>
    <row r="290" spans="16:16" x14ac:dyDescent="0.25">
      <c r="P290" s="233"/>
    </row>
    <row r="291" spans="16:16" x14ac:dyDescent="0.25">
      <c r="P291" s="233"/>
    </row>
    <row r="292" spans="16:16" x14ac:dyDescent="0.25">
      <c r="P292" s="233"/>
    </row>
    <row r="293" spans="16:16" x14ac:dyDescent="0.25">
      <c r="P293" s="233"/>
    </row>
    <row r="294" spans="16:16" x14ac:dyDescent="0.25">
      <c r="P294" s="233"/>
    </row>
    <row r="295" spans="16:16" x14ac:dyDescent="0.25">
      <c r="P295" s="233"/>
    </row>
    <row r="296" spans="16:16" x14ac:dyDescent="0.25">
      <c r="P296" s="233"/>
    </row>
    <row r="297" spans="16:16" x14ac:dyDescent="0.25">
      <c r="P297" s="233"/>
    </row>
    <row r="298" spans="16:16" x14ac:dyDescent="0.25">
      <c r="P298" s="233"/>
    </row>
    <row r="299" spans="16:16" x14ac:dyDescent="0.25">
      <c r="P299" s="233"/>
    </row>
    <row r="300" spans="16:16" x14ac:dyDescent="0.25">
      <c r="P300" s="233"/>
    </row>
    <row r="301" spans="16:16" x14ac:dyDescent="0.25">
      <c r="P301" s="233"/>
    </row>
    <row r="302" spans="16:16" x14ac:dyDescent="0.25">
      <c r="P302" s="233"/>
    </row>
    <row r="303" spans="16:16" x14ac:dyDescent="0.25">
      <c r="P303" s="233"/>
    </row>
    <row r="304" spans="16:16" x14ac:dyDescent="0.25">
      <c r="P304" s="233"/>
    </row>
    <row r="305" spans="16:16" x14ac:dyDescent="0.25">
      <c r="P305" s="233"/>
    </row>
    <row r="306" spans="16:16" x14ac:dyDescent="0.25">
      <c r="P306" s="233"/>
    </row>
    <row r="307" spans="16:16" x14ac:dyDescent="0.25">
      <c r="P307" s="233"/>
    </row>
    <row r="308" spans="16:16" x14ac:dyDescent="0.25">
      <c r="P308" s="233"/>
    </row>
    <row r="309" spans="16:16" x14ac:dyDescent="0.25">
      <c r="P309" s="233"/>
    </row>
    <row r="310" spans="16:16" x14ac:dyDescent="0.25">
      <c r="P310" s="233"/>
    </row>
    <row r="311" spans="16:16" x14ac:dyDescent="0.25">
      <c r="P311" s="233"/>
    </row>
    <row r="312" spans="16:16" x14ac:dyDescent="0.25">
      <c r="P312" s="233"/>
    </row>
    <row r="313" spans="16:16" x14ac:dyDescent="0.25">
      <c r="P313" s="233"/>
    </row>
    <row r="314" spans="16:16" x14ac:dyDescent="0.25">
      <c r="P314" s="233"/>
    </row>
    <row r="315" spans="16:16" x14ac:dyDescent="0.25">
      <c r="P315" s="233"/>
    </row>
    <row r="316" spans="16:16" x14ac:dyDescent="0.25">
      <c r="P316" s="233"/>
    </row>
    <row r="317" spans="16:16" x14ac:dyDescent="0.25">
      <c r="P317" s="233"/>
    </row>
    <row r="318" spans="16:16" x14ac:dyDescent="0.25">
      <c r="P318" s="233"/>
    </row>
    <row r="319" spans="16:16" x14ac:dyDescent="0.25">
      <c r="P319" s="233"/>
    </row>
    <row r="320" spans="16:16" x14ac:dyDescent="0.25">
      <c r="P320" s="233"/>
    </row>
    <row r="321" spans="16:16" x14ac:dyDescent="0.25">
      <c r="P321" s="233"/>
    </row>
    <row r="322" spans="16:16" x14ac:dyDescent="0.25">
      <c r="P322" s="233"/>
    </row>
    <row r="323" spans="16:16" x14ac:dyDescent="0.25">
      <c r="P323" s="233"/>
    </row>
    <row r="324" spans="16:16" x14ac:dyDescent="0.25">
      <c r="P324" s="233"/>
    </row>
    <row r="325" spans="16:16" x14ac:dyDescent="0.25">
      <c r="P325" s="233"/>
    </row>
    <row r="326" spans="16:16" x14ac:dyDescent="0.25">
      <c r="P326" s="233"/>
    </row>
    <row r="327" spans="16:16" x14ac:dyDescent="0.25">
      <c r="P327" s="233"/>
    </row>
    <row r="328" spans="16:16" x14ac:dyDescent="0.25">
      <c r="P328" s="233"/>
    </row>
    <row r="329" spans="16:16" x14ac:dyDescent="0.25">
      <c r="P329" s="233"/>
    </row>
    <row r="330" spans="16:16" x14ac:dyDescent="0.25">
      <c r="P330" s="233"/>
    </row>
    <row r="331" spans="16:16" x14ac:dyDescent="0.25">
      <c r="P331" s="233"/>
    </row>
    <row r="332" spans="16:16" x14ac:dyDescent="0.25">
      <c r="P332" s="233"/>
    </row>
    <row r="333" spans="16:16" x14ac:dyDescent="0.25">
      <c r="P333" s="233"/>
    </row>
    <row r="334" spans="16:16" x14ac:dyDescent="0.25">
      <c r="P334" s="233"/>
    </row>
    <row r="335" spans="16:16" x14ac:dyDescent="0.25">
      <c r="P335" s="233"/>
    </row>
    <row r="336" spans="16:16" x14ac:dyDescent="0.25">
      <c r="P336" s="233"/>
    </row>
    <row r="337" spans="16:16" x14ac:dyDescent="0.25">
      <c r="P337" s="233"/>
    </row>
    <row r="338" spans="16:16" x14ac:dyDescent="0.25">
      <c r="P338" s="233"/>
    </row>
    <row r="339" spans="16:16" x14ac:dyDescent="0.25">
      <c r="P339" s="233"/>
    </row>
    <row r="340" spans="16:16" x14ac:dyDescent="0.25">
      <c r="P340" s="233"/>
    </row>
    <row r="341" spans="16:16" x14ac:dyDescent="0.25">
      <c r="P341" s="233"/>
    </row>
    <row r="342" spans="16:16" x14ac:dyDescent="0.25">
      <c r="P342" s="233"/>
    </row>
    <row r="343" spans="16:16" x14ac:dyDescent="0.25">
      <c r="P343" s="233"/>
    </row>
    <row r="344" spans="16:16" x14ac:dyDescent="0.25">
      <c r="P344" s="233"/>
    </row>
    <row r="345" spans="16:16" x14ac:dyDescent="0.25">
      <c r="P345" s="233"/>
    </row>
    <row r="346" spans="16:16" x14ac:dyDescent="0.25">
      <c r="P346" s="233"/>
    </row>
    <row r="347" spans="16:16" x14ac:dyDescent="0.25">
      <c r="P347" s="233"/>
    </row>
    <row r="348" spans="16:16" x14ac:dyDescent="0.25">
      <c r="P348" s="233"/>
    </row>
    <row r="349" spans="16:16" x14ac:dyDescent="0.25">
      <c r="P349" s="233"/>
    </row>
    <row r="350" spans="16:16" x14ac:dyDescent="0.25">
      <c r="P350" s="233"/>
    </row>
    <row r="351" spans="16:16" x14ac:dyDescent="0.25">
      <c r="P351" s="233"/>
    </row>
    <row r="352" spans="16:16" x14ac:dyDescent="0.25">
      <c r="P352" s="233"/>
    </row>
    <row r="353" spans="16:16" x14ac:dyDescent="0.25">
      <c r="P353" s="233"/>
    </row>
    <row r="354" spans="16:16" x14ac:dyDescent="0.25">
      <c r="P354" s="233"/>
    </row>
    <row r="355" spans="16:16" x14ac:dyDescent="0.25">
      <c r="P355" s="233"/>
    </row>
    <row r="356" spans="16:16" x14ac:dyDescent="0.25">
      <c r="P356" s="233"/>
    </row>
    <row r="357" spans="16:16" x14ac:dyDescent="0.25">
      <c r="P357" s="233"/>
    </row>
    <row r="358" spans="16:16" x14ac:dyDescent="0.25">
      <c r="P358" s="233"/>
    </row>
    <row r="359" spans="16:16" x14ac:dyDescent="0.25">
      <c r="P359" s="233"/>
    </row>
    <row r="360" spans="16:16" x14ac:dyDescent="0.25">
      <c r="P360" s="233"/>
    </row>
    <row r="361" spans="16:16" x14ac:dyDescent="0.25">
      <c r="P361" s="233"/>
    </row>
    <row r="362" spans="16:16" x14ac:dyDescent="0.25">
      <c r="P362" s="233"/>
    </row>
    <row r="363" spans="16:16" x14ac:dyDescent="0.25">
      <c r="P363" s="233"/>
    </row>
    <row r="364" spans="16:16" x14ac:dyDescent="0.25">
      <c r="P364" s="233"/>
    </row>
    <row r="365" spans="16:16" x14ac:dyDescent="0.25">
      <c r="P365" s="233"/>
    </row>
    <row r="366" spans="16:16" x14ac:dyDescent="0.25">
      <c r="P366" s="233"/>
    </row>
    <row r="367" spans="16:16" x14ac:dyDescent="0.25">
      <c r="P367" s="233"/>
    </row>
    <row r="368" spans="16:16" x14ac:dyDescent="0.25">
      <c r="P368" s="233"/>
    </row>
    <row r="369" spans="16:16" x14ac:dyDescent="0.25">
      <c r="P369" s="233"/>
    </row>
    <row r="370" spans="16:16" x14ac:dyDescent="0.25">
      <c r="P370" s="233"/>
    </row>
    <row r="371" spans="16:16" x14ac:dyDescent="0.25">
      <c r="P371" s="233"/>
    </row>
    <row r="372" spans="16:16" x14ac:dyDescent="0.25">
      <c r="P372" s="233"/>
    </row>
    <row r="373" spans="16:16" x14ac:dyDescent="0.25">
      <c r="P373" s="235"/>
    </row>
    <row r="374" spans="16:16" x14ac:dyDescent="0.25">
      <c r="P374" s="235"/>
    </row>
    <row r="375" spans="16:16" x14ac:dyDescent="0.25">
      <c r="P375" s="235"/>
    </row>
    <row r="376" spans="16:16" x14ac:dyDescent="0.25">
      <c r="P376" s="235"/>
    </row>
    <row r="377" spans="16:16" x14ac:dyDescent="0.25">
      <c r="P377" s="235"/>
    </row>
    <row r="378" spans="16:16" x14ac:dyDescent="0.25">
      <c r="P378" s="235"/>
    </row>
    <row r="379" spans="16:16" x14ac:dyDescent="0.25">
      <c r="P379" s="235"/>
    </row>
    <row r="380" spans="16:16" x14ac:dyDescent="0.25">
      <c r="P380" s="235"/>
    </row>
    <row r="381" spans="16:16" x14ac:dyDescent="0.25">
      <c r="P381" s="235"/>
    </row>
    <row r="382" spans="16:16" x14ac:dyDescent="0.25">
      <c r="P382" s="235"/>
    </row>
    <row r="383" spans="16:16" x14ac:dyDescent="0.25">
      <c r="P383" s="235"/>
    </row>
    <row r="384" spans="16:16" x14ac:dyDescent="0.25">
      <c r="P384" s="235"/>
    </row>
    <row r="385" spans="16:16" x14ac:dyDescent="0.25">
      <c r="P385" s="235"/>
    </row>
    <row r="386" spans="16:16" x14ac:dyDescent="0.25">
      <c r="P386" s="235"/>
    </row>
    <row r="387" spans="16:16" x14ac:dyDescent="0.25">
      <c r="P387" s="235"/>
    </row>
    <row r="388" spans="16:16" x14ac:dyDescent="0.25">
      <c r="P388" s="235"/>
    </row>
    <row r="389" spans="16:16" x14ac:dyDescent="0.25">
      <c r="P389" s="235"/>
    </row>
    <row r="390" spans="16:16" x14ac:dyDescent="0.25">
      <c r="P390" s="235"/>
    </row>
    <row r="391" spans="16:16" x14ac:dyDescent="0.25">
      <c r="P391" s="235"/>
    </row>
    <row r="392" spans="16:16" x14ac:dyDescent="0.25">
      <c r="P392" s="235"/>
    </row>
    <row r="393" spans="16:16" x14ac:dyDescent="0.25">
      <c r="P393" s="235"/>
    </row>
    <row r="394" spans="16:16" x14ac:dyDescent="0.25">
      <c r="P394" s="235"/>
    </row>
    <row r="395" spans="16:16" x14ac:dyDescent="0.25">
      <c r="P395" s="235"/>
    </row>
    <row r="396" spans="16:16" x14ac:dyDescent="0.25">
      <c r="P396" s="235"/>
    </row>
    <row r="397" spans="16:16" x14ac:dyDescent="0.25">
      <c r="P397" s="235"/>
    </row>
    <row r="398" spans="16:16" x14ac:dyDescent="0.25">
      <c r="P398" s="235"/>
    </row>
    <row r="399" spans="16:16" x14ac:dyDescent="0.25">
      <c r="P399" s="235"/>
    </row>
    <row r="400" spans="16:16" x14ac:dyDescent="0.25">
      <c r="P400" s="235"/>
    </row>
    <row r="401" spans="16:16" x14ac:dyDescent="0.25">
      <c r="P401" s="235"/>
    </row>
    <row r="402" spans="16:16" x14ac:dyDescent="0.25">
      <c r="P402" s="235"/>
    </row>
    <row r="403" spans="16:16" x14ac:dyDescent="0.25">
      <c r="P403" s="235"/>
    </row>
    <row r="404" spans="16:16" x14ac:dyDescent="0.25">
      <c r="P404" s="235"/>
    </row>
    <row r="405" spans="16:16" x14ac:dyDescent="0.25">
      <c r="P405" s="235"/>
    </row>
    <row r="406" spans="16:16" x14ac:dyDescent="0.25">
      <c r="P406" s="235"/>
    </row>
    <row r="407" spans="16:16" x14ac:dyDescent="0.25">
      <c r="P407" s="235"/>
    </row>
    <row r="408" spans="16:16" x14ac:dyDescent="0.25">
      <c r="P408" s="235"/>
    </row>
    <row r="409" spans="16:16" x14ac:dyDescent="0.25">
      <c r="P409" s="235"/>
    </row>
    <row r="410" spans="16:16" x14ac:dyDescent="0.25">
      <c r="P410" s="235"/>
    </row>
    <row r="411" spans="16:16" x14ac:dyDescent="0.25">
      <c r="P411" s="235"/>
    </row>
    <row r="412" spans="16:16" x14ac:dyDescent="0.25">
      <c r="P412" s="235"/>
    </row>
    <row r="413" spans="16:16" x14ac:dyDescent="0.25">
      <c r="P413" s="235"/>
    </row>
    <row r="414" spans="16:16" x14ac:dyDescent="0.25">
      <c r="P414" s="235"/>
    </row>
    <row r="415" spans="16:16" x14ac:dyDescent="0.25">
      <c r="P415" s="235"/>
    </row>
    <row r="416" spans="16:16" x14ac:dyDescent="0.25">
      <c r="P416" s="235"/>
    </row>
    <row r="417" spans="16:16" x14ac:dyDescent="0.25">
      <c r="P417" s="235"/>
    </row>
    <row r="418" spans="16:16" x14ac:dyDescent="0.25">
      <c r="P418" s="235"/>
    </row>
    <row r="419" spans="16:16" x14ac:dyDescent="0.25">
      <c r="P419" s="235"/>
    </row>
    <row r="420" spans="16:16" x14ac:dyDescent="0.25">
      <c r="P420" s="235"/>
    </row>
    <row r="421" spans="16:16" x14ac:dyDescent="0.25">
      <c r="P421" s="235"/>
    </row>
    <row r="422" spans="16:16" x14ac:dyDescent="0.25">
      <c r="P422" s="235"/>
    </row>
    <row r="423" spans="16:16" x14ac:dyDescent="0.25">
      <c r="P423" s="235"/>
    </row>
    <row r="424" spans="16:16" x14ac:dyDescent="0.25">
      <c r="P424" s="235"/>
    </row>
    <row r="425" spans="16:16" x14ac:dyDescent="0.25">
      <c r="P425" s="235"/>
    </row>
    <row r="426" spans="16:16" x14ac:dyDescent="0.25">
      <c r="P426" s="235"/>
    </row>
    <row r="427" spans="16:16" x14ac:dyDescent="0.25">
      <c r="P427" s="235"/>
    </row>
    <row r="428" spans="16:16" x14ac:dyDescent="0.25">
      <c r="P428" s="235"/>
    </row>
    <row r="429" spans="16:16" x14ac:dyDescent="0.25">
      <c r="P429" s="235"/>
    </row>
    <row r="430" spans="16:16" x14ac:dyDescent="0.25">
      <c r="P430" s="235"/>
    </row>
    <row r="431" spans="16:16" x14ac:dyDescent="0.25">
      <c r="P431" s="235"/>
    </row>
    <row r="432" spans="16:16" x14ac:dyDescent="0.25">
      <c r="P432" s="235"/>
    </row>
    <row r="433" spans="16:16" x14ac:dyDescent="0.25">
      <c r="P433" s="235"/>
    </row>
    <row r="434" spans="16:16" x14ac:dyDescent="0.25">
      <c r="P434" s="235"/>
    </row>
    <row r="435" spans="16:16" x14ac:dyDescent="0.25">
      <c r="P435" s="235"/>
    </row>
    <row r="436" spans="16:16" x14ac:dyDescent="0.25">
      <c r="P436" s="235"/>
    </row>
    <row r="437" spans="16:16" x14ac:dyDescent="0.25">
      <c r="P437" s="235"/>
    </row>
    <row r="438" spans="16:16" x14ac:dyDescent="0.25">
      <c r="P438" s="235"/>
    </row>
    <row r="439" spans="16:16" x14ac:dyDescent="0.25">
      <c r="P439" s="235"/>
    </row>
    <row r="440" spans="16:16" x14ac:dyDescent="0.25">
      <c r="P440" s="235"/>
    </row>
    <row r="441" spans="16:16" x14ac:dyDescent="0.25">
      <c r="P441" s="235"/>
    </row>
    <row r="442" spans="16:16" x14ac:dyDescent="0.25">
      <c r="P442" s="235"/>
    </row>
    <row r="443" spans="16:16" x14ac:dyDescent="0.25">
      <c r="P443" s="235"/>
    </row>
    <row r="444" spans="16:16" x14ac:dyDescent="0.25">
      <c r="P444" s="235"/>
    </row>
    <row r="445" spans="16:16" x14ac:dyDescent="0.25">
      <c r="P445" s="235"/>
    </row>
    <row r="446" spans="16:16" x14ac:dyDescent="0.25">
      <c r="P446" s="235"/>
    </row>
    <row r="447" spans="16:16" x14ac:dyDescent="0.25">
      <c r="P447" s="235"/>
    </row>
    <row r="448" spans="16:16" x14ac:dyDescent="0.25">
      <c r="P448" s="235"/>
    </row>
    <row r="449" spans="16:16" x14ac:dyDescent="0.25">
      <c r="P449" s="235"/>
    </row>
    <row r="450" spans="16:16" x14ac:dyDescent="0.25">
      <c r="P450" s="235"/>
    </row>
    <row r="451" spans="16:16" x14ac:dyDescent="0.25">
      <c r="P451" s="235"/>
    </row>
    <row r="452" spans="16:16" x14ac:dyDescent="0.25">
      <c r="P452" s="235"/>
    </row>
    <row r="453" spans="16:16" x14ac:dyDescent="0.25">
      <c r="P453" s="235"/>
    </row>
    <row r="454" spans="16:16" x14ac:dyDescent="0.25">
      <c r="P454" s="235"/>
    </row>
    <row r="455" spans="16:16" x14ac:dyDescent="0.25">
      <c r="P455" s="235"/>
    </row>
    <row r="456" spans="16:16" x14ac:dyDescent="0.25">
      <c r="P456" s="235"/>
    </row>
    <row r="457" spans="16:16" x14ac:dyDescent="0.25">
      <c r="P457" s="235"/>
    </row>
    <row r="458" spans="16:16" x14ac:dyDescent="0.25">
      <c r="P458" s="235"/>
    </row>
    <row r="459" spans="16:16" x14ac:dyDescent="0.25">
      <c r="P459" s="235"/>
    </row>
    <row r="460" spans="16:16" x14ac:dyDescent="0.25">
      <c r="P460" s="235"/>
    </row>
    <row r="461" spans="16:16" x14ac:dyDescent="0.25">
      <c r="P461" s="235"/>
    </row>
    <row r="462" spans="16:16" x14ac:dyDescent="0.25">
      <c r="P462" s="235"/>
    </row>
    <row r="463" spans="16:16" x14ac:dyDescent="0.25">
      <c r="P463" s="235"/>
    </row>
    <row r="464" spans="16:16" x14ac:dyDescent="0.25">
      <c r="P464" s="235"/>
    </row>
    <row r="465" spans="16:16" x14ac:dyDescent="0.25">
      <c r="P465" s="235"/>
    </row>
    <row r="466" spans="16:16" x14ac:dyDescent="0.25">
      <c r="P466" s="235"/>
    </row>
    <row r="467" spans="16:16" x14ac:dyDescent="0.25">
      <c r="P467" s="235"/>
    </row>
    <row r="468" spans="16:16" x14ac:dyDescent="0.25">
      <c r="P468" s="235"/>
    </row>
    <row r="469" spans="16:16" x14ac:dyDescent="0.25">
      <c r="P469" s="235"/>
    </row>
    <row r="470" spans="16:16" x14ac:dyDescent="0.25">
      <c r="P470" s="235"/>
    </row>
    <row r="471" spans="16:16" x14ac:dyDescent="0.25">
      <c r="P471" s="235"/>
    </row>
    <row r="472" spans="16:16" x14ac:dyDescent="0.25">
      <c r="P472" s="235"/>
    </row>
    <row r="473" spans="16:16" x14ac:dyDescent="0.25">
      <c r="P473" s="235"/>
    </row>
    <row r="474" spans="16:16" x14ac:dyDescent="0.25">
      <c r="P474" s="235"/>
    </row>
    <row r="475" spans="16:16" x14ac:dyDescent="0.25">
      <c r="P475" s="235"/>
    </row>
    <row r="476" spans="16:16" x14ac:dyDescent="0.25">
      <c r="P476" s="235"/>
    </row>
    <row r="477" spans="16:16" x14ac:dyDescent="0.25">
      <c r="P477" s="235"/>
    </row>
    <row r="478" spans="16:16" x14ac:dyDescent="0.25">
      <c r="P478" s="235"/>
    </row>
    <row r="479" spans="16:16" x14ac:dyDescent="0.25">
      <c r="P479" s="235"/>
    </row>
    <row r="480" spans="16:16" x14ac:dyDescent="0.25">
      <c r="P480" s="235"/>
    </row>
    <row r="481" spans="16:16" x14ac:dyDescent="0.25">
      <c r="P481" s="235"/>
    </row>
    <row r="482" spans="16:16" x14ac:dyDescent="0.25">
      <c r="P482" s="235"/>
    </row>
    <row r="483" spans="16:16" x14ac:dyDescent="0.25">
      <c r="P483" s="235"/>
    </row>
    <row r="484" spans="16:16" x14ac:dyDescent="0.25">
      <c r="P484" s="235"/>
    </row>
    <row r="485" spans="16:16" x14ac:dyDescent="0.25">
      <c r="P485" s="235"/>
    </row>
    <row r="486" spans="16:16" x14ac:dyDescent="0.25">
      <c r="P486" s="235"/>
    </row>
    <row r="487" spans="16:16" x14ac:dyDescent="0.25">
      <c r="P487" s="235"/>
    </row>
    <row r="488" spans="16:16" x14ac:dyDescent="0.25">
      <c r="P488" s="235"/>
    </row>
    <row r="489" spans="16:16" x14ac:dyDescent="0.25">
      <c r="P489" s="235"/>
    </row>
    <row r="490" spans="16:16" x14ac:dyDescent="0.25">
      <c r="P490" s="235"/>
    </row>
    <row r="491" spans="16:16" x14ac:dyDescent="0.25">
      <c r="P491" s="235"/>
    </row>
    <row r="492" spans="16:16" x14ac:dyDescent="0.25">
      <c r="P492" s="235"/>
    </row>
    <row r="493" spans="16:16" x14ac:dyDescent="0.25">
      <c r="P493" s="235"/>
    </row>
    <row r="494" spans="16:16" x14ac:dyDescent="0.25">
      <c r="P494" s="235"/>
    </row>
    <row r="495" spans="16:16" x14ac:dyDescent="0.25">
      <c r="P495" s="235"/>
    </row>
    <row r="496" spans="16:16" x14ac:dyDescent="0.25">
      <c r="P496" s="235"/>
    </row>
    <row r="497" spans="16:16" x14ac:dyDescent="0.25">
      <c r="P497" s="235"/>
    </row>
    <row r="498" spans="16:16" x14ac:dyDescent="0.25">
      <c r="P498" s="235"/>
    </row>
    <row r="499" spans="16:16" x14ac:dyDescent="0.25">
      <c r="P499" s="235"/>
    </row>
    <row r="500" spans="16:16" x14ac:dyDescent="0.25">
      <c r="P500" s="235"/>
    </row>
    <row r="501" spans="16:16" x14ac:dyDescent="0.25">
      <c r="P501" s="235"/>
    </row>
    <row r="502" spans="16:16" x14ac:dyDescent="0.25">
      <c r="P502" s="235"/>
    </row>
    <row r="503" spans="16:16" x14ac:dyDescent="0.25">
      <c r="P503" s="235"/>
    </row>
    <row r="504" spans="16:16" x14ac:dyDescent="0.25">
      <c r="P504" s="235"/>
    </row>
    <row r="505" spans="16:16" x14ac:dyDescent="0.25">
      <c r="P505" s="235"/>
    </row>
  </sheetData>
  <sheetProtection autoFilter="0"/>
  <autoFilter ref="I10:N149" xr:uid="{43A92DF7-C550-408E-A905-D106075BC7E6}">
    <filterColumn colId="0" showButton="0"/>
    <filterColumn colId="2">
      <filters blank="1"/>
    </filterColumn>
    <filterColumn colId="3" showButton="0"/>
  </autoFilter>
  <mergeCells count="17">
    <mergeCell ref="L10:M10"/>
    <mergeCell ref="N10:N11"/>
    <mergeCell ref="P9:P12"/>
    <mergeCell ref="A4:N4"/>
    <mergeCell ref="A5:N5"/>
    <mergeCell ref="A6:N6"/>
    <mergeCell ref="A9:A11"/>
    <mergeCell ref="B9:B11"/>
    <mergeCell ref="C9:C11"/>
    <mergeCell ref="D9:D11"/>
    <mergeCell ref="E9:E11"/>
    <mergeCell ref="F9:F11"/>
    <mergeCell ref="G9:G11"/>
    <mergeCell ref="H9:H11"/>
    <mergeCell ref="I9:N9"/>
    <mergeCell ref="I10:J10"/>
    <mergeCell ref="K10:K11"/>
  </mergeCells>
  <phoneticPr fontId="16" type="noConversion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5D98B-0A03-4B15-95B8-6E69F1B10F6C}">
  <sheetPr>
    <outlinePr summaryBelow="0"/>
  </sheetPr>
  <dimension ref="A1:Z507"/>
  <sheetViews>
    <sheetView view="pageBreakPreview" topLeftCell="C1" zoomScale="85" zoomScaleNormal="85" zoomScaleSheetLayoutView="85" workbookViewId="0">
      <pane ySplit="11" topLeftCell="A126" activePane="bottomLeft" state="frozen"/>
      <selection pane="bottomLeft" activeCell="L126" sqref="L126"/>
    </sheetView>
  </sheetViews>
  <sheetFormatPr defaultColWidth="9.140625" defaultRowHeight="15" outlineLevelRow="1" x14ac:dyDescent="0.25"/>
  <cols>
    <col min="1" max="1" width="8" style="229" customWidth="1"/>
    <col min="2" max="2" width="21.28515625" style="230" customWidth="1"/>
    <col min="3" max="3" width="12.42578125" style="230" customWidth="1"/>
    <col min="4" max="4" width="67.28515625" style="231" customWidth="1"/>
    <col min="5" max="5" width="19.85546875" style="229" customWidth="1"/>
    <col min="6" max="7" width="9.5703125" style="230" customWidth="1"/>
    <col min="8" max="8" width="10" style="232" customWidth="1"/>
    <col min="9" max="9" width="12.85546875" style="232" customWidth="1"/>
    <col min="10" max="12" width="13.7109375" style="230" customWidth="1"/>
    <col min="13" max="13" width="19.42578125" style="230" bestFit="1" customWidth="1"/>
    <col min="14" max="14" width="19.5703125" style="230" customWidth="1"/>
    <col min="15" max="15" width="4.5703125" style="152" customWidth="1"/>
    <col min="16" max="16" width="76.7109375" style="153" customWidth="1"/>
    <col min="17" max="17" width="10" style="152" bestFit="1" customWidth="1"/>
    <col min="18" max="20" width="9.140625" style="152"/>
    <col min="21" max="21" width="3.140625" style="152" customWidth="1"/>
    <col min="22" max="22" width="5.85546875" style="152" customWidth="1"/>
    <col min="23" max="24" width="9.140625" style="152" customWidth="1"/>
    <col min="25" max="25" width="12.85546875" style="152" customWidth="1"/>
    <col min="26" max="26" width="32.5703125" style="152" customWidth="1"/>
    <col min="27" max="27" width="16.5703125" style="152" customWidth="1"/>
    <col min="28" max="16384" width="9.140625" style="152"/>
  </cols>
  <sheetData>
    <row r="1" spans="1:26" ht="15.75" x14ac:dyDescent="0.25">
      <c r="A1" s="148"/>
      <c r="B1" s="148"/>
      <c r="C1" s="148"/>
      <c r="D1" s="149"/>
      <c r="E1" s="149"/>
      <c r="F1" s="149"/>
      <c r="G1" s="149"/>
      <c r="H1" s="149"/>
      <c r="I1" s="150"/>
      <c r="J1" s="150"/>
      <c r="K1" s="150"/>
      <c r="L1" s="150"/>
      <c r="M1" s="150"/>
      <c r="N1" s="151"/>
    </row>
    <row r="2" spans="1:26" ht="15.75" x14ac:dyDescent="0.25">
      <c r="A2" s="148"/>
      <c r="B2" s="148"/>
      <c r="C2" s="148"/>
      <c r="D2" s="149"/>
      <c r="E2" s="149"/>
      <c r="F2" s="149"/>
      <c r="G2" s="149"/>
      <c r="H2" s="149"/>
      <c r="I2" s="150"/>
      <c r="J2" s="150"/>
      <c r="K2" s="150"/>
      <c r="L2" s="150"/>
      <c r="M2" s="150"/>
      <c r="N2" s="154"/>
    </row>
    <row r="3" spans="1:26" ht="15.75" x14ac:dyDescent="0.25">
      <c r="A3" s="148"/>
      <c r="B3" s="148"/>
      <c r="C3" s="148"/>
      <c r="D3" s="149"/>
      <c r="E3" s="149"/>
      <c r="F3" s="149"/>
      <c r="G3" s="149"/>
      <c r="H3" s="149"/>
      <c r="I3" s="150"/>
      <c r="J3" s="150"/>
      <c r="K3" s="150"/>
      <c r="L3" s="150"/>
      <c r="M3" s="150"/>
      <c r="N3" s="154"/>
    </row>
    <row r="4" spans="1:26" s="155" customFormat="1" ht="18.75" x14ac:dyDescent="0.25">
      <c r="A4" s="282" t="s">
        <v>88</v>
      </c>
      <c r="B4" s="282"/>
      <c r="C4" s="282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P4" s="153"/>
    </row>
    <row r="5" spans="1:26" s="155" customFormat="1" ht="15.75" x14ac:dyDescent="0.25">
      <c r="A5" s="283" t="s">
        <v>101</v>
      </c>
      <c r="B5" s="283"/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P5" s="153"/>
    </row>
    <row r="6" spans="1:26" s="155" customFormat="1" ht="15.75" x14ac:dyDescent="0.25">
      <c r="A6" s="283" t="s">
        <v>280</v>
      </c>
      <c r="B6" s="283"/>
      <c r="C6" s="283"/>
      <c r="D6" s="283"/>
      <c r="E6" s="283"/>
      <c r="F6" s="283"/>
      <c r="G6" s="283"/>
      <c r="H6" s="283"/>
      <c r="I6" s="283"/>
      <c r="J6" s="283"/>
      <c r="K6" s="283"/>
      <c r="L6" s="283"/>
      <c r="M6" s="283"/>
      <c r="N6" s="283"/>
      <c r="P6" s="153"/>
    </row>
    <row r="7" spans="1:26" s="155" customFormat="1" ht="15.75" x14ac:dyDescent="0.25">
      <c r="A7" s="268"/>
      <c r="B7" s="268"/>
      <c r="C7" s="268"/>
      <c r="D7" s="268"/>
      <c r="E7" s="268"/>
      <c r="F7" s="268"/>
      <c r="G7" s="268"/>
      <c r="H7" s="268"/>
      <c r="I7" s="268"/>
      <c r="J7" s="268"/>
      <c r="K7" s="268"/>
      <c r="L7" s="268"/>
      <c r="M7" s="268"/>
      <c r="N7" s="268"/>
      <c r="P7" s="157"/>
    </row>
    <row r="8" spans="1:26" s="155" customFormat="1" ht="15.75" thickBot="1" x14ac:dyDescent="0.25">
      <c r="A8" s="158"/>
      <c r="B8" s="159"/>
      <c r="C8" s="159"/>
      <c r="D8" s="149"/>
      <c r="E8" s="159"/>
      <c r="F8" s="160"/>
      <c r="G8" s="160"/>
      <c r="H8" s="159"/>
      <c r="I8" s="159"/>
      <c r="J8" s="102"/>
      <c r="K8" s="102"/>
      <c r="L8" s="102"/>
      <c r="M8" s="149"/>
      <c r="N8" s="161"/>
      <c r="P8" s="157"/>
    </row>
    <row r="9" spans="1:26" s="155" customFormat="1" x14ac:dyDescent="0.25">
      <c r="A9" s="284" t="s">
        <v>18</v>
      </c>
      <c r="B9" s="287" t="s">
        <v>1</v>
      </c>
      <c r="C9" s="287" t="s">
        <v>69</v>
      </c>
      <c r="D9" s="290" t="s">
        <v>17</v>
      </c>
      <c r="E9" s="290" t="s">
        <v>2</v>
      </c>
      <c r="F9" s="290" t="s">
        <v>19</v>
      </c>
      <c r="G9" s="293" t="s">
        <v>20</v>
      </c>
      <c r="H9" s="296" t="s">
        <v>10</v>
      </c>
      <c r="I9" s="299" t="s">
        <v>68</v>
      </c>
      <c r="J9" s="299"/>
      <c r="K9" s="299"/>
      <c r="L9" s="299"/>
      <c r="M9" s="299"/>
      <c r="N9" s="300"/>
      <c r="P9" s="306" t="s">
        <v>177</v>
      </c>
    </row>
    <row r="10" spans="1:26" s="155" customFormat="1" x14ac:dyDescent="0.2">
      <c r="A10" s="285"/>
      <c r="B10" s="288"/>
      <c r="C10" s="288"/>
      <c r="D10" s="291"/>
      <c r="E10" s="291"/>
      <c r="F10" s="291"/>
      <c r="G10" s="294"/>
      <c r="H10" s="297"/>
      <c r="I10" s="301" t="s">
        <v>64</v>
      </c>
      <c r="J10" s="302"/>
      <c r="K10" s="303" t="s">
        <v>65</v>
      </c>
      <c r="L10" s="305" t="s">
        <v>66</v>
      </c>
      <c r="M10" s="302"/>
      <c r="N10" s="277" t="s">
        <v>67</v>
      </c>
      <c r="O10" s="149"/>
      <c r="P10" s="306"/>
    </row>
    <row r="11" spans="1:26" s="155" customFormat="1" ht="26.25" thickBot="1" x14ac:dyDescent="0.3">
      <c r="A11" s="286"/>
      <c r="B11" s="289"/>
      <c r="C11" s="289"/>
      <c r="D11" s="292"/>
      <c r="E11" s="292"/>
      <c r="F11" s="292"/>
      <c r="G11" s="295"/>
      <c r="H11" s="298"/>
      <c r="I11" s="162" t="s">
        <v>3</v>
      </c>
      <c r="J11" s="162" t="s">
        <v>63</v>
      </c>
      <c r="K11" s="304"/>
      <c r="L11" s="269" t="s">
        <v>3</v>
      </c>
      <c r="M11" s="164" t="s">
        <v>63</v>
      </c>
      <c r="N11" s="278"/>
      <c r="P11" s="306"/>
    </row>
    <row r="12" spans="1:26" s="170" customFormat="1" ht="12.75" x14ac:dyDescent="0.25">
      <c r="A12" s="165">
        <v>1</v>
      </c>
      <c r="B12" s="166">
        <v>2</v>
      </c>
      <c r="C12" s="166">
        <v>3</v>
      </c>
      <c r="D12" s="166">
        <v>4</v>
      </c>
      <c r="E12" s="166">
        <v>5</v>
      </c>
      <c r="F12" s="166">
        <v>6</v>
      </c>
      <c r="G12" s="167">
        <v>7</v>
      </c>
      <c r="H12" s="168">
        <v>8</v>
      </c>
      <c r="I12" s="166">
        <v>9</v>
      </c>
      <c r="J12" s="166">
        <v>10</v>
      </c>
      <c r="K12" s="166">
        <v>11</v>
      </c>
      <c r="L12" s="166">
        <v>12</v>
      </c>
      <c r="M12" s="166">
        <v>13</v>
      </c>
      <c r="N12" s="169">
        <v>14</v>
      </c>
      <c r="P12" s="306"/>
    </row>
    <row r="13" spans="1:26" s="170" customFormat="1" x14ac:dyDescent="0.25">
      <c r="A13" s="220"/>
      <c r="B13" s="221"/>
      <c r="C13" s="115"/>
      <c r="D13" s="273" t="s">
        <v>281</v>
      </c>
      <c r="E13" s="107"/>
      <c r="F13" s="107"/>
      <c r="G13" s="107"/>
      <c r="H13" s="108"/>
      <c r="I13" s="109"/>
      <c r="J13" s="110"/>
      <c r="K13" s="110"/>
      <c r="L13" s="119"/>
      <c r="M13" s="119"/>
      <c r="N13" s="119"/>
      <c r="P13" s="270"/>
    </row>
    <row r="14" spans="1:26" s="170" customFormat="1" ht="12.75" x14ac:dyDescent="0.25">
      <c r="A14" s="171">
        <v>1</v>
      </c>
      <c r="B14" s="172"/>
      <c r="C14" s="172"/>
      <c r="D14" s="173" t="s">
        <v>102</v>
      </c>
      <c r="E14" s="125"/>
      <c r="F14" s="174"/>
      <c r="G14" s="175"/>
      <c r="H14" s="128"/>
      <c r="I14" s="140"/>
      <c r="J14" s="176"/>
      <c r="K14" s="176"/>
      <c r="L14" s="176"/>
      <c r="M14" s="127"/>
      <c r="N14" s="129"/>
      <c r="P14" s="132"/>
    </row>
    <row r="15" spans="1:26" s="170" customFormat="1" ht="25.5" outlineLevel="1" x14ac:dyDescent="0.25">
      <c r="A15" s="178" t="s">
        <v>13</v>
      </c>
      <c r="B15" s="179" t="s">
        <v>129</v>
      </c>
      <c r="C15" s="179"/>
      <c r="D15" s="180" t="s">
        <v>126</v>
      </c>
      <c r="E15" s="181" t="s">
        <v>6</v>
      </c>
      <c r="F15" s="182" t="s">
        <v>127</v>
      </c>
      <c r="G15" s="183"/>
      <c r="H15" s="104">
        <v>2</v>
      </c>
      <c r="I15" s="143"/>
      <c r="J15" s="105"/>
      <c r="K15" s="184">
        <f>J15</f>
        <v>0</v>
      </c>
      <c r="L15" s="184"/>
      <c r="M15" s="112">
        <f>J15*H15</f>
        <v>0</v>
      </c>
      <c r="N15" s="130">
        <f>M15</f>
        <v>0</v>
      </c>
      <c r="P15" s="185" t="s">
        <v>211</v>
      </c>
      <c r="U15" s="186"/>
    </row>
    <row r="16" spans="1:26" s="170" customFormat="1" outlineLevel="1" x14ac:dyDescent="0.25">
      <c r="A16" s="187" t="s">
        <v>89</v>
      </c>
      <c r="B16" s="188"/>
      <c r="C16" s="189"/>
      <c r="D16" s="190" t="s">
        <v>109</v>
      </c>
      <c r="E16" s="191" t="s">
        <v>128</v>
      </c>
      <c r="F16" s="192" t="s">
        <v>59</v>
      </c>
      <c r="G16" s="193">
        <v>1</v>
      </c>
      <c r="H16" s="103">
        <v>2</v>
      </c>
      <c r="I16" s="236"/>
      <c r="J16" s="106"/>
      <c r="K16" s="194">
        <f>I16</f>
        <v>0</v>
      </c>
      <c r="L16" s="194">
        <f>I16*H16</f>
        <v>0</v>
      </c>
      <c r="M16" s="114"/>
      <c r="N16" s="131">
        <f>L16</f>
        <v>0</v>
      </c>
      <c r="P16" s="132"/>
      <c r="Z16" s="195"/>
    </row>
    <row r="17" spans="1:26" s="170" customFormat="1" outlineLevel="1" x14ac:dyDescent="0.25">
      <c r="A17" s="187" t="s">
        <v>90</v>
      </c>
      <c r="B17" s="188"/>
      <c r="C17" s="189"/>
      <c r="D17" s="190" t="s">
        <v>112</v>
      </c>
      <c r="E17" s="191" t="s">
        <v>128</v>
      </c>
      <c r="F17" s="192" t="s">
        <v>59</v>
      </c>
      <c r="G17" s="193">
        <v>1</v>
      </c>
      <c r="H17" s="103">
        <v>2</v>
      </c>
      <c r="I17" s="236"/>
      <c r="J17" s="113"/>
      <c r="K17" s="194">
        <f>I17</f>
        <v>0</v>
      </c>
      <c r="L17" s="194">
        <f>I17*H17</f>
        <v>0</v>
      </c>
      <c r="M17" s="114"/>
      <c r="N17" s="131">
        <f>L17</f>
        <v>0</v>
      </c>
      <c r="P17" s="132"/>
      <c r="Z17" s="195"/>
    </row>
    <row r="18" spans="1:26" s="170" customFormat="1" ht="12.75" outlineLevel="1" x14ac:dyDescent="0.25">
      <c r="A18" s="178" t="s">
        <v>14</v>
      </c>
      <c r="B18" s="179"/>
      <c r="C18" s="179"/>
      <c r="D18" s="180" t="s">
        <v>153</v>
      </c>
      <c r="E18" s="181" t="s">
        <v>6</v>
      </c>
      <c r="F18" s="182" t="s">
        <v>59</v>
      </c>
      <c r="G18" s="183"/>
      <c r="H18" s="104">
        <f>H20</f>
        <v>2</v>
      </c>
      <c r="I18" s="143"/>
      <c r="J18" s="237"/>
      <c r="K18" s="184">
        <f>J18</f>
        <v>0</v>
      </c>
      <c r="L18" s="184"/>
      <c r="M18" s="112">
        <f>J18*H18</f>
        <v>0</v>
      </c>
      <c r="N18" s="130">
        <f>M18</f>
        <v>0</v>
      </c>
      <c r="P18" s="185" t="s">
        <v>211</v>
      </c>
      <c r="Z18" s="195"/>
    </row>
    <row r="19" spans="1:26" s="170" customFormat="1" ht="15" customHeight="1" outlineLevel="1" x14ac:dyDescent="0.25">
      <c r="A19" s="196" t="s">
        <v>91</v>
      </c>
      <c r="B19" s="197"/>
      <c r="C19" s="197"/>
      <c r="D19" s="198" t="s">
        <v>149</v>
      </c>
      <c r="E19" s="191" t="s">
        <v>128</v>
      </c>
      <c r="F19" s="199" t="s">
        <v>59</v>
      </c>
      <c r="G19" s="200">
        <v>1</v>
      </c>
      <c r="H19" s="138">
        <v>2</v>
      </c>
      <c r="I19" s="238"/>
      <c r="J19" s="239"/>
      <c r="K19" s="194">
        <f t="shared" ref="K19:K22" si="0">I19</f>
        <v>0</v>
      </c>
      <c r="L19" s="194">
        <f t="shared" ref="L19:L22" si="1">I19*H19</f>
        <v>0</v>
      </c>
      <c r="M19" s="114"/>
      <c r="N19" s="131">
        <f t="shared" ref="N19:N22" si="2">L19</f>
        <v>0</v>
      </c>
      <c r="P19" s="137"/>
      <c r="Z19" s="195"/>
    </row>
    <row r="20" spans="1:26" s="170" customFormat="1" outlineLevel="1" x14ac:dyDescent="0.25">
      <c r="A20" s="187" t="s">
        <v>96</v>
      </c>
      <c r="B20" s="188"/>
      <c r="C20" s="189"/>
      <c r="D20" s="198" t="s">
        <v>130</v>
      </c>
      <c r="E20" s="191" t="s">
        <v>128</v>
      </c>
      <c r="F20" s="192" t="s">
        <v>59</v>
      </c>
      <c r="G20" s="193">
        <v>1</v>
      </c>
      <c r="H20" s="103">
        <v>2</v>
      </c>
      <c r="I20" s="236"/>
      <c r="J20" s="113"/>
      <c r="K20" s="194">
        <f t="shared" si="0"/>
        <v>0</v>
      </c>
      <c r="L20" s="194">
        <f t="shared" si="1"/>
        <v>0</v>
      </c>
      <c r="M20" s="114"/>
      <c r="N20" s="131">
        <f t="shared" si="2"/>
        <v>0</v>
      </c>
      <c r="P20" s="132"/>
      <c r="Z20" s="195"/>
    </row>
    <row r="21" spans="1:26" s="170" customFormat="1" outlineLevel="1" x14ac:dyDescent="0.25">
      <c r="A21" s="196" t="s">
        <v>97</v>
      </c>
      <c r="B21" s="202"/>
      <c r="C21" s="203"/>
      <c r="D21" s="198" t="s">
        <v>151</v>
      </c>
      <c r="E21" s="191" t="s">
        <v>128</v>
      </c>
      <c r="F21" s="192" t="s">
        <v>59</v>
      </c>
      <c r="G21" s="193">
        <v>1</v>
      </c>
      <c r="H21" s="103">
        <v>2</v>
      </c>
      <c r="I21" s="236"/>
      <c r="J21" s="133"/>
      <c r="K21" s="194">
        <f t="shared" si="0"/>
        <v>0</v>
      </c>
      <c r="L21" s="204">
        <f t="shared" si="1"/>
        <v>0</v>
      </c>
      <c r="M21" s="134"/>
      <c r="N21" s="136">
        <f t="shared" si="2"/>
        <v>0</v>
      </c>
      <c r="P21" s="132"/>
      <c r="Z21" s="195"/>
    </row>
    <row r="22" spans="1:26" s="170" customFormat="1" ht="30" outlineLevel="1" x14ac:dyDescent="0.25">
      <c r="A22" s="187" t="s">
        <v>98</v>
      </c>
      <c r="B22" s="202"/>
      <c r="C22" s="203"/>
      <c r="D22" s="198" t="s">
        <v>150</v>
      </c>
      <c r="E22" s="191" t="s">
        <v>128</v>
      </c>
      <c r="F22" s="192" t="s">
        <v>59</v>
      </c>
      <c r="G22" s="193">
        <v>1</v>
      </c>
      <c r="H22" s="103">
        <v>2</v>
      </c>
      <c r="I22" s="236"/>
      <c r="J22" s="133"/>
      <c r="K22" s="194">
        <f t="shared" si="0"/>
        <v>0</v>
      </c>
      <c r="L22" s="204">
        <f t="shared" si="1"/>
        <v>0</v>
      </c>
      <c r="M22" s="134"/>
      <c r="N22" s="136">
        <f t="shared" si="2"/>
        <v>0</v>
      </c>
      <c r="P22" s="132"/>
      <c r="Z22" s="195"/>
    </row>
    <row r="23" spans="1:26" s="170" customFormat="1" ht="12.75" outlineLevel="1" x14ac:dyDescent="0.25">
      <c r="A23" s="178" t="s">
        <v>15</v>
      </c>
      <c r="B23" s="179" t="s">
        <v>117</v>
      </c>
      <c r="C23" s="179"/>
      <c r="D23" s="180" t="s">
        <v>116</v>
      </c>
      <c r="E23" s="181" t="s">
        <v>6</v>
      </c>
      <c r="F23" s="182" t="s">
        <v>59</v>
      </c>
      <c r="G23" s="183"/>
      <c r="H23" s="104">
        <f>H24</f>
        <v>2</v>
      </c>
      <c r="I23" s="143"/>
      <c r="J23" s="105"/>
      <c r="K23" s="184">
        <f>J23</f>
        <v>0</v>
      </c>
      <c r="L23" s="184"/>
      <c r="M23" s="112">
        <f>J23*H23</f>
        <v>0</v>
      </c>
      <c r="N23" s="130">
        <f>M23</f>
        <v>0</v>
      </c>
      <c r="P23" s="185" t="s">
        <v>211</v>
      </c>
      <c r="Z23" s="195"/>
    </row>
    <row r="24" spans="1:26" s="170" customFormat="1" ht="12.75" outlineLevel="1" x14ac:dyDescent="0.25">
      <c r="A24" s="187" t="s">
        <v>156</v>
      </c>
      <c r="B24" s="188"/>
      <c r="C24" s="189"/>
      <c r="D24" s="206" t="s">
        <v>118</v>
      </c>
      <c r="E24" s="191" t="s">
        <v>128</v>
      </c>
      <c r="F24" s="192" t="s">
        <v>59</v>
      </c>
      <c r="G24" s="193">
        <v>1</v>
      </c>
      <c r="H24" s="103">
        <v>2</v>
      </c>
      <c r="I24" s="236"/>
      <c r="J24" s="113"/>
      <c r="K24" s="194">
        <f>I24</f>
        <v>0</v>
      </c>
      <c r="L24" s="194">
        <f>I24*H24</f>
        <v>0</v>
      </c>
      <c r="M24" s="114"/>
      <c r="N24" s="131">
        <f>L24</f>
        <v>0</v>
      </c>
      <c r="P24" s="132"/>
      <c r="Z24" s="195"/>
    </row>
    <row r="25" spans="1:26" s="170" customFormat="1" ht="76.5" outlineLevel="1" x14ac:dyDescent="0.25">
      <c r="A25" s="178" t="s">
        <v>16</v>
      </c>
      <c r="B25" s="179" t="s">
        <v>134</v>
      </c>
      <c r="C25" s="179"/>
      <c r="D25" s="180" t="s">
        <v>202</v>
      </c>
      <c r="E25" s="181" t="s">
        <v>6</v>
      </c>
      <c r="F25" s="182" t="s">
        <v>124</v>
      </c>
      <c r="G25" s="262"/>
      <c r="H25" s="104">
        <f>80*5+51</f>
        <v>451</v>
      </c>
      <c r="I25" s="143"/>
      <c r="J25" s="237"/>
      <c r="K25" s="184">
        <f>J25</f>
        <v>0</v>
      </c>
      <c r="L25" s="184"/>
      <c r="M25" s="112">
        <f>J25*H25</f>
        <v>0</v>
      </c>
      <c r="N25" s="130">
        <f>M25</f>
        <v>0</v>
      </c>
      <c r="P25" s="185" t="s">
        <v>201</v>
      </c>
      <c r="Z25" s="195"/>
    </row>
    <row r="26" spans="1:26" s="170" customFormat="1" ht="45" outlineLevel="1" x14ac:dyDescent="0.25">
      <c r="A26" s="210" t="s">
        <v>157</v>
      </c>
      <c r="B26" s="202"/>
      <c r="C26" s="203"/>
      <c r="D26" s="208" t="s">
        <v>135</v>
      </c>
      <c r="E26" s="211" t="s">
        <v>128</v>
      </c>
      <c r="F26" s="212" t="s">
        <v>124</v>
      </c>
      <c r="G26" s="193">
        <v>1.03</v>
      </c>
      <c r="H26" s="103">
        <f>ROUND((80+80)*G26,0)</f>
        <v>165</v>
      </c>
      <c r="I26" s="236"/>
      <c r="J26" s="133"/>
      <c r="K26" s="194">
        <f t="shared" ref="K26:K38" si="3">I26</f>
        <v>0</v>
      </c>
      <c r="L26" s="194">
        <f t="shared" ref="L26:L38" si="4">I26*H26</f>
        <v>0</v>
      </c>
      <c r="M26" s="114"/>
      <c r="N26" s="131">
        <f t="shared" ref="N26:N38" si="5">L26</f>
        <v>0</v>
      </c>
      <c r="P26" s="132"/>
      <c r="Z26" s="195"/>
    </row>
    <row r="27" spans="1:26" s="170" customFormat="1" ht="45" outlineLevel="1" x14ac:dyDescent="0.25">
      <c r="A27" s="210" t="s">
        <v>158</v>
      </c>
      <c r="B27" s="202"/>
      <c r="C27" s="203"/>
      <c r="D27" s="208" t="s">
        <v>138</v>
      </c>
      <c r="E27" s="211" t="s">
        <v>128</v>
      </c>
      <c r="F27" s="212" t="s">
        <v>124</v>
      </c>
      <c r="G27" s="193">
        <v>1.03</v>
      </c>
      <c r="H27" s="103">
        <f>ROUND((80+80)*G27,0)</f>
        <v>165</v>
      </c>
      <c r="I27" s="236"/>
      <c r="J27" s="133"/>
      <c r="K27" s="194">
        <f t="shared" ref="K27:K28" si="6">I27</f>
        <v>0</v>
      </c>
      <c r="L27" s="194">
        <f t="shared" ref="L27:L28" si="7">I27*H27</f>
        <v>0</v>
      </c>
      <c r="M27" s="114"/>
      <c r="N27" s="131">
        <f t="shared" ref="N27:N28" si="8">L27</f>
        <v>0</v>
      </c>
      <c r="P27" s="132"/>
      <c r="Z27" s="195"/>
    </row>
    <row r="28" spans="1:26" s="170" customFormat="1" ht="45" outlineLevel="1" x14ac:dyDescent="0.25">
      <c r="A28" s="210" t="s">
        <v>159</v>
      </c>
      <c r="B28" s="202"/>
      <c r="C28" s="203"/>
      <c r="D28" s="208" t="s">
        <v>136</v>
      </c>
      <c r="E28" s="211" t="s">
        <v>128</v>
      </c>
      <c r="F28" s="212" t="s">
        <v>124</v>
      </c>
      <c r="G28" s="193">
        <v>1.03</v>
      </c>
      <c r="H28" s="103">
        <f>ROUND((51+80)*G28,0)</f>
        <v>135</v>
      </c>
      <c r="I28" s="236"/>
      <c r="J28" s="133"/>
      <c r="K28" s="194">
        <f t="shared" si="6"/>
        <v>0</v>
      </c>
      <c r="L28" s="194">
        <f t="shared" si="7"/>
        <v>0</v>
      </c>
      <c r="M28" s="114"/>
      <c r="N28" s="131">
        <f t="shared" si="8"/>
        <v>0</v>
      </c>
      <c r="P28" s="132"/>
      <c r="Z28" s="195"/>
    </row>
    <row r="29" spans="1:26" s="170" customFormat="1" ht="76.5" outlineLevel="1" x14ac:dyDescent="0.25">
      <c r="A29" s="178" t="s">
        <v>31</v>
      </c>
      <c r="B29" s="179" t="s">
        <v>134</v>
      </c>
      <c r="C29" s="179"/>
      <c r="D29" s="180" t="s">
        <v>213</v>
      </c>
      <c r="E29" s="181" t="s">
        <v>6</v>
      </c>
      <c r="F29" s="182" t="s">
        <v>124</v>
      </c>
      <c r="G29" s="262"/>
      <c r="H29" s="104">
        <f>34*4+62+191*11</f>
        <v>2299</v>
      </c>
      <c r="I29" s="143"/>
      <c r="J29" s="237"/>
      <c r="K29" s="184">
        <f>J29</f>
        <v>0</v>
      </c>
      <c r="L29" s="184"/>
      <c r="M29" s="112">
        <f>J29*H29</f>
        <v>0</v>
      </c>
      <c r="N29" s="130">
        <f>M29</f>
        <v>0</v>
      </c>
      <c r="P29" s="185" t="s">
        <v>201</v>
      </c>
      <c r="Z29" s="195"/>
    </row>
    <row r="30" spans="1:26" s="170" customFormat="1" ht="45" outlineLevel="1" x14ac:dyDescent="0.25">
      <c r="A30" s="210" t="s">
        <v>165</v>
      </c>
      <c r="B30" s="202"/>
      <c r="C30" s="203"/>
      <c r="D30" s="208" t="s">
        <v>135</v>
      </c>
      <c r="E30" s="211" t="s">
        <v>128</v>
      </c>
      <c r="F30" s="212" t="s">
        <v>124</v>
      </c>
      <c r="G30" s="193">
        <v>1.03</v>
      </c>
      <c r="H30" s="103">
        <f>ROUND((34*2+62+191*11)*G30,0)</f>
        <v>2298</v>
      </c>
      <c r="I30" s="236"/>
      <c r="J30" s="133"/>
      <c r="K30" s="194">
        <f t="shared" ref="K30:K31" si="9">I30</f>
        <v>0</v>
      </c>
      <c r="L30" s="194">
        <f t="shared" ref="L30:L31" si="10">I30*H30</f>
        <v>0</v>
      </c>
      <c r="M30" s="114"/>
      <c r="N30" s="131">
        <f t="shared" ref="N30:N31" si="11">L30</f>
        <v>0</v>
      </c>
      <c r="P30" s="132"/>
      <c r="Z30" s="195"/>
    </row>
    <row r="31" spans="1:26" s="170" customFormat="1" ht="45" outlineLevel="1" x14ac:dyDescent="0.25">
      <c r="A31" s="210" t="s">
        <v>166</v>
      </c>
      <c r="B31" s="202"/>
      <c r="C31" s="203"/>
      <c r="D31" s="208" t="s">
        <v>138</v>
      </c>
      <c r="E31" s="211" t="s">
        <v>128</v>
      </c>
      <c r="F31" s="212" t="s">
        <v>124</v>
      </c>
      <c r="G31" s="193">
        <v>1.03</v>
      </c>
      <c r="H31" s="103">
        <f>ROUND((34*2)*G31,0)</f>
        <v>70</v>
      </c>
      <c r="I31" s="236"/>
      <c r="J31" s="133"/>
      <c r="K31" s="194">
        <f t="shared" si="9"/>
        <v>0</v>
      </c>
      <c r="L31" s="194">
        <f t="shared" si="10"/>
        <v>0</v>
      </c>
      <c r="M31" s="114"/>
      <c r="N31" s="131">
        <f t="shared" si="11"/>
        <v>0</v>
      </c>
      <c r="P31" s="132"/>
      <c r="Z31" s="195"/>
    </row>
    <row r="32" spans="1:26" s="170" customFormat="1" outlineLevel="1" x14ac:dyDescent="0.25">
      <c r="A32" s="210" t="s">
        <v>167</v>
      </c>
      <c r="B32" s="202"/>
      <c r="C32" s="203"/>
      <c r="D32" s="208" t="s">
        <v>139</v>
      </c>
      <c r="E32" s="211" t="s">
        <v>128</v>
      </c>
      <c r="F32" s="212" t="s">
        <v>124</v>
      </c>
      <c r="G32" s="193">
        <v>1.1000000000000001</v>
      </c>
      <c r="H32" s="103">
        <f>ROUND(2299*G32,0)</f>
        <v>2529</v>
      </c>
      <c r="I32" s="236"/>
      <c r="J32" s="133"/>
      <c r="K32" s="194">
        <f>I32</f>
        <v>0</v>
      </c>
      <c r="L32" s="194">
        <f>I32*H32</f>
        <v>0</v>
      </c>
      <c r="M32" s="114"/>
      <c r="N32" s="131">
        <f>L32</f>
        <v>0</v>
      </c>
      <c r="P32" s="132"/>
      <c r="Z32" s="195"/>
    </row>
    <row r="33" spans="1:26" s="170" customFormat="1" outlineLevel="1" x14ac:dyDescent="0.25">
      <c r="A33" s="210" t="s">
        <v>168</v>
      </c>
      <c r="B33" s="202"/>
      <c r="C33" s="203"/>
      <c r="D33" s="208" t="s">
        <v>152</v>
      </c>
      <c r="E33" s="211" t="s">
        <v>128</v>
      </c>
      <c r="F33" s="212" t="s">
        <v>59</v>
      </c>
      <c r="G33" s="193">
        <v>1</v>
      </c>
      <c r="H33" s="103">
        <v>24</v>
      </c>
      <c r="I33" s="236"/>
      <c r="J33" s="133"/>
      <c r="K33" s="194">
        <f>I33</f>
        <v>0</v>
      </c>
      <c r="L33" s="194">
        <f>I33*H33</f>
        <v>0</v>
      </c>
      <c r="M33" s="114"/>
      <c r="N33" s="131">
        <f>L33</f>
        <v>0</v>
      </c>
      <c r="P33" s="132"/>
      <c r="Z33" s="195"/>
    </row>
    <row r="34" spans="1:26" s="170" customFormat="1" ht="12.75" outlineLevel="1" x14ac:dyDescent="0.25">
      <c r="A34" s="210" t="s">
        <v>169</v>
      </c>
      <c r="B34" s="202"/>
      <c r="C34" s="203"/>
      <c r="D34" s="206" t="s">
        <v>180</v>
      </c>
      <c r="E34" s="191" t="s">
        <v>128</v>
      </c>
      <c r="F34" s="212" t="s">
        <v>59</v>
      </c>
      <c r="G34" s="193">
        <v>1</v>
      </c>
      <c r="H34" s="271">
        <v>3</v>
      </c>
      <c r="I34" s="236"/>
      <c r="J34" s="133"/>
      <c r="K34" s="194">
        <f>I34</f>
        <v>0</v>
      </c>
      <c r="L34" s="194">
        <f>I34*H34</f>
        <v>0</v>
      </c>
      <c r="M34" s="114"/>
      <c r="N34" s="131">
        <f>L34</f>
        <v>0</v>
      </c>
      <c r="P34" s="132"/>
      <c r="Z34" s="195"/>
    </row>
    <row r="35" spans="1:26" s="170" customFormat="1" ht="76.5" outlineLevel="1" x14ac:dyDescent="0.25">
      <c r="A35" s="178" t="s">
        <v>32</v>
      </c>
      <c r="B35" s="179" t="s">
        <v>134</v>
      </c>
      <c r="C35" s="179"/>
      <c r="D35" s="180" t="s">
        <v>206</v>
      </c>
      <c r="E35" s="181" t="s">
        <v>6</v>
      </c>
      <c r="F35" s="182" t="s">
        <v>124</v>
      </c>
      <c r="G35" s="262"/>
      <c r="H35" s="104">
        <f>6*4+72*2</f>
        <v>168</v>
      </c>
      <c r="I35" s="143"/>
      <c r="J35" s="237"/>
      <c r="K35" s="184">
        <f>J35</f>
        <v>0</v>
      </c>
      <c r="L35" s="184"/>
      <c r="M35" s="112">
        <f>J35*H35</f>
        <v>0</v>
      </c>
      <c r="N35" s="130">
        <f>M35</f>
        <v>0</v>
      </c>
      <c r="P35" s="185" t="s">
        <v>201</v>
      </c>
      <c r="Z35" s="195"/>
    </row>
    <row r="36" spans="1:26" s="170" customFormat="1" ht="45" outlineLevel="1" x14ac:dyDescent="0.25">
      <c r="A36" s="210" t="s">
        <v>170</v>
      </c>
      <c r="B36" s="202"/>
      <c r="C36" s="203"/>
      <c r="D36" s="208" t="s">
        <v>135</v>
      </c>
      <c r="E36" s="211" t="s">
        <v>128</v>
      </c>
      <c r="F36" s="212" t="s">
        <v>124</v>
      </c>
      <c r="G36" s="193">
        <v>1.03</v>
      </c>
      <c r="H36" s="103">
        <f>ROUND((12)*G36,0)</f>
        <v>12</v>
      </c>
      <c r="I36" s="236"/>
      <c r="J36" s="133"/>
      <c r="K36" s="194">
        <f t="shared" ref="K36" si="12">I36</f>
        <v>0</v>
      </c>
      <c r="L36" s="194">
        <f t="shared" ref="L36" si="13">I36*H36</f>
        <v>0</v>
      </c>
      <c r="M36" s="114"/>
      <c r="N36" s="131">
        <f t="shared" ref="N36" si="14">L36</f>
        <v>0</v>
      </c>
      <c r="P36" s="265"/>
      <c r="Z36" s="195"/>
    </row>
    <row r="37" spans="1:26" s="170" customFormat="1" ht="45" outlineLevel="1" x14ac:dyDescent="0.25">
      <c r="A37" s="210" t="s">
        <v>203</v>
      </c>
      <c r="B37" s="202"/>
      <c r="C37" s="203"/>
      <c r="D37" s="208" t="s">
        <v>136</v>
      </c>
      <c r="E37" s="211" t="s">
        <v>128</v>
      </c>
      <c r="F37" s="212" t="s">
        <v>124</v>
      </c>
      <c r="G37" s="193">
        <v>1.03</v>
      </c>
      <c r="H37" s="103">
        <f>ROUND(72*2*G37,0)</f>
        <v>148</v>
      </c>
      <c r="I37" s="236"/>
      <c r="J37" s="133"/>
      <c r="K37" s="194">
        <f t="shared" si="3"/>
        <v>0</v>
      </c>
      <c r="L37" s="194">
        <f t="shared" si="4"/>
        <v>0</v>
      </c>
      <c r="M37" s="114"/>
      <c r="N37" s="131">
        <f t="shared" si="5"/>
        <v>0</v>
      </c>
      <c r="P37" s="132"/>
      <c r="Z37" s="195"/>
    </row>
    <row r="38" spans="1:26" s="170" customFormat="1" ht="45" outlineLevel="1" x14ac:dyDescent="0.25">
      <c r="A38" s="210" t="s">
        <v>204</v>
      </c>
      <c r="B38" s="202"/>
      <c r="C38" s="203"/>
      <c r="D38" s="208" t="s">
        <v>138</v>
      </c>
      <c r="E38" s="211" t="s">
        <v>128</v>
      </c>
      <c r="F38" s="212" t="s">
        <v>124</v>
      </c>
      <c r="G38" s="193">
        <v>1.03</v>
      </c>
      <c r="H38" s="103">
        <f>ROUND(12*G38,0)</f>
        <v>12</v>
      </c>
      <c r="I38" s="236"/>
      <c r="J38" s="133"/>
      <c r="K38" s="194">
        <f t="shared" si="3"/>
        <v>0</v>
      </c>
      <c r="L38" s="194">
        <f t="shared" si="4"/>
        <v>0</v>
      </c>
      <c r="M38" s="114"/>
      <c r="N38" s="131">
        <f t="shared" si="5"/>
        <v>0</v>
      </c>
      <c r="P38" s="132"/>
      <c r="Z38" s="195"/>
    </row>
    <row r="39" spans="1:26" s="170" customFormat="1" ht="12.75" outlineLevel="1" x14ac:dyDescent="0.25">
      <c r="A39" s="178" t="s">
        <v>33</v>
      </c>
      <c r="B39" s="179"/>
      <c r="C39" s="179"/>
      <c r="D39" s="180" t="s">
        <v>225</v>
      </c>
      <c r="E39" s="181" t="s">
        <v>6</v>
      </c>
      <c r="F39" s="182" t="s">
        <v>59</v>
      </c>
      <c r="G39" s="183"/>
      <c r="H39" s="104">
        <f>H40</f>
        <v>270</v>
      </c>
      <c r="I39" s="143"/>
      <c r="J39" s="237"/>
      <c r="K39" s="184">
        <f>J39</f>
        <v>0</v>
      </c>
      <c r="L39" s="184"/>
      <c r="M39" s="112">
        <f>J39*H39</f>
        <v>0</v>
      </c>
      <c r="N39" s="130">
        <f>M39</f>
        <v>0</v>
      </c>
      <c r="P39" s="185" t="s">
        <v>211</v>
      </c>
      <c r="Z39" s="195"/>
    </row>
    <row r="40" spans="1:26" s="170" customFormat="1" outlineLevel="1" x14ac:dyDescent="0.25">
      <c r="A40" s="187" t="s">
        <v>208</v>
      </c>
      <c r="B40" s="188"/>
      <c r="C40" s="189"/>
      <c r="D40" s="264" t="s">
        <v>148</v>
      </c>
      <c r="E40" s="191" t="s">
        <v>128</v>
      </c>
      <c r="F40" s="192" t="s">
        <v>59</v>
      </c>
      <c r="G40" s="193">
        <v>1</v>
      </c>
      <c r="H40" s="103">
        <f>135*2</f>
        <v>270</v>
      </c>
      <c r="I40" s="236"/>
      <c r="J40" s="113"/>
      <c r="K40" s="194">
        <f>I40</f>
        <v>0</v>
      </c>
      <c r="L40" s="194">
        <f>I40*H40</f>
        <v>0</v>
      </c>
      <c r="M40" s="114"/>
      <c r="N40" s="131">
        <f>L40</f>
        <v>0</v>
      </c>
      <c r="P40" s="132"/>
      <c r="Z40" s="195"/>
    </row>
    <row r="41" spans="1:26" s="170" customFormat="1" ht="12.75" x14ac:dyDescent="0.25">
      <c r="A41" s="171">
        <v>2</v>
      </c>
      <c r="B41" s="172"/>
      <c r="C41" s="172"/>
      <c r="D41" s="173" t="s">
        <v>103</v>
      </c>
      <c r="E41" s="125"/>
      <c r="F41" s="174"/>
      <c r="G41" s="175"/>
      <c r="H41" s="128"/>
      <c r="I41" s="240"/>
      <c r="J41" s="126"/>
      <c r="K41" s="176"/>
      <c r="L41" s="176"/>
      <c r="M41" s="127"/>
      <c r="N41" s="129"/>
      <c r="P41" s="132"/>
    </row>
    <row r="42" spans="1:26" s="170" customFormat="1" ht="12.75" outlineLevel="1" x14ac:dyDescent="0.25">
      <c r="A42" s="178" t="s">
        <v>70</v>
      </c>
      <c r="B42" s="179" t="s">
        <v>104</v>
      </c>
      <c r="C42" s="179"/>
      <c r="D42" s="180" t="s">
        <v>105</v>
      </c>
      <c r="E42" s="181" t="s">
        <v>6</v>
      </c>
      <c r="F42" s="182" t="s">
        <v>59</v>
      </c>
      <c r="G42" s="183"/>
      <c r="H42" s="104">
        <f>H43</f>
        <v>2</v>
      </c>
      <c r="I42" s="143"/>
      <c r="J42" s="105"/>
      <c r="K42" s="184">
        <f>J42</f>
        <v>0</v>
      </c>
      <c r="L42" s="184"/>
      <c r="M42" s="112">
        <f>J42*H42</f>
        <v>0</v>
      </c>
      <c r="N42" s="130">
        <f>M42</f>
        <v>0</v>
      </c>
      <c r="P42" s="185" t="s">
        <v>211</v>
      </c>
      <c r="Z42" s="195"/>
    </row>
    <row r="43" spans="1:26" s="170" customFormat="1" outlineLevel="1" x14ac:dyDescent="0.25">
      <c r="A43" s="187" t="s">
        <v>92</v>
      </c>
      <c r="B43" s="188"/>
      <c r="C43" s="189"/>
      <c r="D43" s="207" t="s">
        <v>106</v>
      </c>
      <c r="E43" s="191" t="s">
        <v>128</v>
      </c>
      <c r="F43" s="192" t="s">
        <v>59</v>
      </c>
      <c r="G43" s="193">
        <v>1</v>
      </c>
      <c r="H43" s="103">
        <v>2</v>
      </c>
      <c r="I43" s="236"/>
      <c r="J43" s="113"/>
      <c r="K43" s="194">
        <f t="shared" ref="K43" si="15">I43</f>
        <v>0</v>
      </c>
      <c r="L43" s="194">
        <f t="shared" ref="L43" si="16">I43*H43</f>
        <v>0</v>
      </c>
      <c r="M43" s="114"/>
      <c r="N43" s="131">
        <f t="shared" ref="N43" si="17">L43</f>
        <v>0</v>
      </c>
      <c r="P43" s="132"/>
      <c r="Z43" s="195"/>
    </row>
    <row r="44" spans="1:26" s="170" customFormat="1" ht="12.75" outlineLevel="1" x14ac:dyDescent="0.25">
      <c r="A44" s="178" t="s">
        <v>71</v>
      </c>
      <c r="B44" s="179" t="s">
        <v>107</v>
      </c>
      <c r="C44" s="179"/>
      <c r="D44" s="180" t="s">
        <v>108</v>
      </c>
      <c r="E44" s="181" t="s">
        <v>6</v>
      </c>
      <c r="F44" s="182" t="s">
        <v>59</v>
      </c>
      <c r="G44" s="183"/>
      <c r="H44" s="104">
        <f>H45</f>
        <v>2</v>
      </c>
      <c r="I44" s="143"/>
      <c r="J44" s="105"/>
      <c r="K44" s="184">
        <f>J44</f>
        <v>0</v>
      </c>
      <c r="L44" s="184"/>
      <c r="M44" s="112">
        <f>J44*H44</f>
        <v>0</v>
      </c>
      <c r="N44" s="130">
        <f>M44</f>
        <v>0</v>
      </c>
      <c r="P44" s="185" t="s">
        <v>211</v>
      </c>
      <c r="Z44" s="195"/>
    </row>
    <row r="45" spans="1:26" s="170" customFormat="1" outlineLevel="1" x14ac:dyDescent="0.25">
      <c r="A45" s="187" t="s">
        <v>93</v>
      </c>
      <c r="B45" s="188"/>
      <c r="C45" s="189"/>
      <c r="D45" s="207" t="s">
        <v>109</v>
      </c>
      <c r="E45" s="191" t="s">
        <v>128</v>
      </c>
      <c r="F45" s="192" t="s">
        <v>59</v>
      </c>
      <c r="G45" s="193">
        <v>1</v>
      </c>
      <c r="H45" s="103">
        <v>2</v>
      </c>
      <c r="I45" s="236"/>
      <c r="J45" s="113"/>
      <c r="K45" s="194">
        <f>I45</f>
        <v>0</v>
      </c>
      <c r="L45" s="194">
        <f>I45*H45</f>
        <v>0</v>
      </c>
      <c r="M45" s="114"/>
      <c r="N45" s="131">
        <f>L45</f>
        <v>0</v>
      </c>
      <c r="P45" s="132"/>
      <c r="Z45" s="195"/>
    </row>
    <row r="46" spans="1:26" s="170" customFormat="1" ht="12.75" outlineLevel="1" x14ac:dyDescent="0.25">
      <c r="A46" s="178" t="s">
        <v>72</v>
      </c>
      <c r="B46" s="179" t="s">
        <v>111</v>
      </c>
      <c r="C46" s="179"/>
      <c r="D46" s="180" t="s">
        <v>110</v>
      </c>
      <c r="E46" s="181" t="s">
        <v>6</v>
      </c>
      <c r="F46" s="182" t="s">
        <v>59</v>
      </c>
      <c r="G46" s="183"/>
      <c r="H46" s="104">
        <f>H47</f>
        <v>2</v>
      </c>
      <c r="I46" s="143"/>
      <c r="J46" s="105"/>
      <c r="K46" s="184">
        <f>J46</f>
        <v>0</v>
      </c>
      <c r="L46" s="184"/>
      <c r="M46" s="112">
        <f>J46*H46</f>
        <v>0</v>
      </c>
      <c r="N46" s="130">
        <f>M46</f>
        <v>0</v>
      </c>
      <c r="P46" s="185" t="s">
        <v>211</v>
      </c>
      <c r="Z46" s="195"/>
    </row>
    <row r="47" spans="1:26" s="170" customFormat="1" outlineLevel="1" x14ac:dyDescent="0.25">
      <c r="A47" s="187" t="s">
        <v>94</v>
      </c>
      <c r="B47" s="188"/>
      <c r="C47" s="189"/>
      <c r="D47" s="207" t="s">
        <v>112</v>
      </c>
      <c r="E47" s="191" t="s">
        <v>128</v>
      </c>
      <c r="F47" s="192" t="s">
        <v>59</v>
      </c>
      <c r="G47" s="193">
        <v>1</v>
      </c>
      <c r="H47" s="103">
        <v>2</v>
      </c>
      <c r="I47" s="236"/>
      <c r="J47" s="113"/>
      <c r="K47" s="194">
        <f t="shared" ref="K47" si="18">I47</f>
        <v>0</v>
      </c>
      <c r="L47" s="194">
        <f t="shared" ref="L47" si="19">I47*H47</f>
        <v>0</v>
      </c>
      <c r="M47" s="114"/>
      <c r="N47" s="131">
        <f t="shared" ref="N47" si="20">L47</f>
        <v>0</v>
      </c>
      <c r="P47" s="132"/>
      <c r="Z47" s="195"/>
    </row>
    <row r="48" spans="1:26" s="170" customFormat="1" ht="12.75" outlineLevel="1" x14ac:dyDescent="0.25">
      <c r="A48" s="178" t="s">
        <v>73</v>
      </c>
      <c r="B48" s="179" t="s">
        <v>114</v>
      </c>
      <c r="C48" s="179"/>
      <c r="D48" s="180" t="s">
        <v>113</v>
      </c>
      <c r="E48" s="181" t="s">
        <v>6</v>
      </c>
      <c r="F48" s="182" t="s">
        <v>59</v>
      </c>
      <c r="G48" s="183"/>
      <c r="H48" s="104">
        <f>H49</f>
        <v>2</v>
      </c>
      <c r="I48" s="143"/>
      <c r="J48" s="105"/>
      <c r="K48" s="184">
        <f>J48</f>
        <v>0</v>
      </c>
      <c r="L48" s="184"/>
      <c r="M48" s="112">
        <f>J48*H48</f>
        <v>0</v>
      </c>
      <c r="N48" s="130">
        <f>M48</f>
        <v>0</v>
      </c>
      <c r="P48" s="185" t="s">
        <v>211</v>
      </c>
      <c r="Z48" s="195"/>
    </row>
    <row r="49" spans="1:26" s="170" customFormat="1" ht="25.5" outlineLevel="1" x14ac:dyDescent="0.25">
      <c r="A49" s="187" t="s">
        <v>95</v>
      </c>
      <c r="B49" s="188"/>
      <c r="C49" s="189" t="s">
        <v>179</v>
      </c>
      <c r="D49" s="206" t="s">
        <v>115</v>
      </c>
      <c r="E49" s="191" t="s">
        <v>128</v>
      </c>
      <c r="F49" s="192" t="s">
        <v>59</v>
      </c>
      <c r="G49" s="193">
        <v>1</v>
      </c>
      <c r="H49" s="103">
        <v>2</v>
      </c>
      <c r="I49" s="236"/>
      <c r="J49" s="113"/>
      <c r="K49" s="194">
        <f>I49</f>
        <v>0</v>
      </c>
      <c r="L49" s="194">
        <f>I49*H49</f>
        <v>0</v>
      </c>
      <c r="M49" s="114"/>
      <c r="N49" s="131">
        <f>L49</f>
        <v>0</v>
      </c>
      <c r="P49" s="132"/>
      <c r="Z49" s="195"/>
    </row>
    <row r="50" spans="1:26" s="170" customFormat="1" ht="12.75" outlineLevel="1" x14ac:dyDescent="0.25">
      <c r="A50" s="178" t="s">
        <v>99</v>
      </c>
      <c r="B50" s="179" t="s">
        <v>117</v>
      </c>
      <c r="C50" s="179"/>
      <c r="D50" s="180" t="s">
        <v>116</v>
      </c>
      <c r="E50" s="181" t="s">
        <v>6</v>
      </c>
      <c r="F50" s="182" t="s">
        <v>59</v>
      </c>
      <c r="G50" s="183"/>
      <c r="H50" s="104">
        <f>H51</f>
        <v>2</v>
      </c>
      <c r="I50" s="143"/>
      <c r="J50" s="105"/>
      <c r="K50" s="184">
        <f>J50</f>
        <v>0</v>
      </c>
      <c r="L50" s="184"/>
      <c r="M50" s="112">
        <f>J50*H50</f>
        <v>0</v>
      </c>
      <c r="N50" s="130">
        <f>M50</f>
        <v>0</v>
      </c>
      <c r="P50" s="185" t="s">
        <v>211</v>
      </c>
      <c r="Z50" s="195"/>
    </row>
    <row r="51" spans="1:26" s="170" customFormat="1" ht="12.75" outlineLevel="1" x14ac:dyDescent="0.25">
      <c r="A51" s="187" t="s">
        <v>100</v>
      </c>
      <c r="B51" s="188"/>
      <c r="C51" s="189"/>
      <c r="D51" s="206" t="s">
        <v>118</v>
      </c>
      <c r="E51" s="191" t="s">
        <v>128</v>
      </c>
      <c r="F51" s="192" t="s">
        <v>59</v>
      </c>
      <c r="G51" s="193">
        <v>1</v>
      </c>
      <c r="H51" s="103">
        <v>2</v>
      </c>
      <c r="I51" s="236"/>
      <c r="J51" s="113"/>
      <c r="K51" s="194">
        <f>I51</f>
        <v>0</v>
      </c>
      <c r="L51" s="194">
        <f>I51*H51</f>
        <v>0</v>
      </c>
      <c r="M51" s="114"/>
      <c r="N51" s="131">
        <f>L51</f>
        <v>0</v>
      </c>
      <c r="P51" s="132"/>
      <c r="Z51" s="195"/>
    </row>
    <row r="52" spans="1:26" s="170" customFormat="1" ht="12.75" outlineLevel="1" x14ac:dyDescent="0.25">
      <c r="A52" s="178" t="s">
        <v>171</v>
      </c>
      <c r="B52" s="179" t="s">
        <v>119</v>
      </c>
      <c r="C52" s="179"/>
      <c r="D52" s="180" t="s">
        <v>120</v>
      </c>
      <c r="E52" s="181" t="s">
        <v>6</v>
      </c>
      <c r="F52" s="182" t="s">
        <v>59</v>
      </c>
      <c r="G52" s="183"/>
      <c r="H52" s="104">
        <f>H53</f>
        <v>2</v>
      </c>
      <c r="I52" s="143"/>
      <c r="J52" s="105"/>
      <c r="K52" s="184">
        <f>J52</f>
        <v>0</v>
      </c>
      <c r="L52" s="184"/>
      <c r="M52" s="112">
        <f>J52*H52</f>
        <v>0</v>
      </c>
      <c r="N52" s="130">
        <f>M52</f>
        <v>0</v>
      </c>
      <c r="P52" s="185" t="s">
        <v>211</v>
      </c>
      <c r="Z52" s="195"/>
    </row>
    <row r="53" spans="1:26" s="170" customFormat="1" ht="12.75" outlineLevel="1" x14ac:dyDescent="0.25">
      <c r="A53" s="187" t="s">
        <v>172</v>
      </c>
      <c r="B53" s="188"/>
      <c r="C53" s="189"/>
      <c r="D53" s="206" t="s">
        <v>121</v>
      </c>
      <c r="E53" s="191" t="s">
        <v>128</v>
      </c>
      <c r="F53" s="192" t="s">
        <v>59</v>
      </c>
      <c r="G53" s="193">
        <v>1</v>
      </c>
      <c r="H53" s="103">
        <v>2</v>
      </c>
      <c r="I53" s="236"/>
      <c r="J53" s="113"/>
      <c r="K53" s="194">
        <f>I53</f>
        <v>0</v>
      </c>
      <c r="L53" s="194">
        <f>I53*H53</f>
        <v>0</v>
      </c>
      <c r="M53" s="114"/>
      <c r="N53" s="131">
        <f>L53</f>
        <v>0</v>
      </c>
      <c r="P53" s="132"/>
      <c r="Z53" s="195"/>
    </row>
    <row r="54" spans="1:26" s="170" customFormat="1" ht="76.5" outlineLevel="1" x14ac:dyDescent="0.25">
      <c r="A54" s="178" t="s">
        <v>173</v>
      </c>
      <c r="B54" s="179" t="s">
        <v>122</v>
      </c>
      <c r="C54" s="179"/>
      <c r="D54" s="180" t="s">
        <v>202</v>
      </c>
      <c r="E54" s="181" t="s">
        <v>6</v>
      </c>
      <c r="F54" s="182" t="s">
        <v>124</v>
      </c>
      <c r="G54" s="183"/>
      <c r="H54" s="104">
        <f>80*3</f>
        <v>240</v>
      </c>
      <c r="I54" s="143"/>
      <c r="J54" s="105"/>
      <c r="K54" s="184">
        <f>J54</f>
        <v>0</v>
      </c>
      <c r="L54" s="184"/>
      <c r="M54" s="112">
        <f>J54*H54</f>
        <v>0</v>
      </c>
      <c r="N54" s="130">
        <f>M54</f>
        <v>0</v>
      </c>
      <c r="P54" s="201" t="s">
        <v>201</v>
      </c>
      <c r="Z54" s="195"/>
    </row>
    <row r="55" spans="1:26" s="170" customFormat="1" ht="38.25" outlineLevel="1" x14ac:dyDescent="0.25">
      <c r="A55" s="218" t="s">
        <v>174</v>
      </c>
      <c r="B55" s="202"/>
      <c r="C55" s="203"/>
      <c r="D55" s="219" t="s">
        <v>123</v>
      </c>
      <c r="E55" s="191" t="s">
        <v>128</v>
      </c>
      <c r="F55" s="212" t="s">
        <v>124</v>
      </c>
      <c r="G55" s="193">
        <v>1.03</v>
      </c>
      <c r="H55" s="103">
        <f>ROUND((80*3)*G55,0)</f>
        <v>247</v>
      </c>
      <c r="I55" s="236"/>
      <c r="J55" s="133"/>
      <c r="K55" s="194">
        <f>I55</f>
        <v>0</v>
      </c>
      <c r="L55" s="194">
        <f>I55*H55</f>
        <v>0</v>
      </c>
      <c r="M55" s="114"/>
      <c r="N55" s="131">
        <f>L55</f>
        <v>0</v>
      </c>
      <c r="P55" s="132"/>
      <c r="Z55" s="195"/>
    </row>
    <row r="56" spans="1:26" s="170" customFormat="1" ht="76.5" outlineLevel="1" x14ac:dyDescent="0.25">
      <c r="A56" s="178" t="s">
        <v>214</v>
      </c>
      <c r="B56" s="179" t="s">
        <v>122</v>
      </c>
      <c r="C56" s="179"/>
      <c r="D56" s="180" t="s">
        <v>213</v>
      </c>
      <c r="E56" s="181" t="s">
        <v>6</v>
      </c>
      <c r="F56" s="182" t="s">
        <v>124</v>
      </c>
      <c r="G56" s="183"/>
      <c r="H56" s="104">
        <f>19+16+11+33+39+39</f>
        <v>157</v>
      </c>
      <c r="I56" s="143"/>
      <c r="J56" s="105"/>
      <c r="K56" s="184">
        <f>J56</f>
        <v>0</v>
      </c>
      <c r="L56" s="184"/>
      <c r="M56" s="112">
        <f>J56*H56</f>
        <v>0</v>
      </c>
      <c r="N56" s="130">
        <f>M56</f>
        <v>0</v>
      </c>
      <c r="P56" s="201" t="s">
        <v>201</v>
      </c>
      <c r="Z56" s="195"/>
    </row>
    <row r="57" spans="1:26" s="170" customFormat="1" ht="38.25" outlineLevel="1" x14ac:dyDescent="0.25">
      <c r="A57" s="218" t="s">
        <v>215</v>
      </c>
      <c r="B57" s="202"/>
      <c r="C57" s="203"/>
      <c r="D57" s="219" t="s">
        <v>123</v>
      </c>
      <c r="E57" s="191" t="s">
        <v>128</v>
      </c>
      <c r="F57" s="212" t="s">
        <v>124</v>
      </c>
      <c r="G57" s="193">
        <v>1.03</v>
      </c>
      <c r="H57" s="103">
        <f>ROUND((19+16+11+39*2)*G57,0)</f>
        <v>128</v>
      </c>
      <c r="I57" s="236"/>
      <c r="J57" s="133"/>
      <c r="K57" s="194">
        <f>I57</f>
        <v>0</v>
      </c>
      <c r="L57" s="194">
        <f>I57*H57</f>
        <v>0</v>
      </c>
      <c r="M57" s="114"/>
      <c r="N57" s="131">
        <f>L57</f>
        <v>0</v>
      </c>
      <c r="P57" s="132"/>
      <c r="Z57" s="195"/>
    </row>
    <row r="58" spans="1:26" s="170" customFormat="1" ht="38.25" outlineLevel="1" x14ac:dyDescent="0.25">
      <c r="A58" s="218" t="s">
        <v>218</v>
      </c>
      <c r="B58" s="202"/>
      <c r="C58" s="203"/>
      <c r="D58" s="219" t="s">
        <v>137</v>
      </c>
      <c r="E58" s="191" t="s">
        <v>128</v>
      </c>
      <c r="F58" s="212" t="s">
        <v>124</v>
      </c>
      <c r="G58" s="193">
        <v>1.03</v>
      </c>
      <c r="H58" s="103">
        <f>ROUND(33*G58,0)</f>
        <v>34</v>
      </c>
      <c r="I58" s="236"/>
      <c r="J58" s="133"/>
      <c r="K58" s="194">
        <f t="shared" ref="K58:K59" si="21">I58</f>
        <v>0</v>
      </c>
      <c r="L58" s="194">
        <f t="shared" ref="L58:L59" si="22">I58*H58</f>
        <v>0</v>
      </c>
      <c r="M58" s="114"/>
      <c r="N58" s="131">
        <f t="shared" ref="N58:N59" si="23">L58</f>
        <v>0</v>
      </c>
      <c r="P58" s="132"/>
      <c r="Z58" s="195"/>
    </row>
    <row r="59" spans="1:26" s="170" customFormat="1" ht="12.75" outlineLevel="1" x14ac:dyDescent="0.25">
      <c r="A59" s="218" t="s">
        <v>219</v>
      </c>
      <c r="B59" s="202"/>
      <c r="C59" s="203"/>
      <c r="D59" s="219" t="s">
        <v>125</v>
      </c>
      <c r="E59" s="191" t="s">
        <v>128</v>
      </c>
      <c r="F59" s="212" t="s">
        <v>124</v>
      </c>
      <c r="G59" s="193">
        <v>1.1000000000000001</v>
      </c>
      <c r="H59" s="103">
        <f>ROUND((157)*G59,0)</f>
        <v>173</v>
      </c>
      <c r="I59" s="236"/>
      <c r="J59" s="133"/>
      <c r="K59" s="194">
        <f t="shared" si="21"/>
        <v>0</v>
      </c>
      <c r="L59" s="194">
        <f t="shared" si="22"/>
        <v>0</v>
      </c>
      <c r="M59" s="114"/>
      <c r="N59" s="131">
        <f t="shared" si="23"/>
        <v>0</v>
      </c>
      <c r="P59" s="132"/>
      <c r="Z59" s="195"/>
    </row>
    <row r="60" spans="1:26" s="170" customFormat="1" ht="12.75" outlineLevel="1" x14ac:dyDescent="0.25">
      <c r="A60" s="210" t="s">
        <v>221</v>
      </c>
      <c r="B60" s="202"/>
      <c r="C60" s="203"/>
      <c r="D60" s="206" t="s">
        <v>180</v>
      </c>
      <c r="E60" s="191" t="s">
        <v>128</v>
      </c>
      <c r="F60" s="212" t="s">
        <v>59</v>
      </c>
      <c r="G60" s="193">
        <v>1</v>
      </c>
      <c r="H60" s="271">
        <v>3</v>
      </c>
      <c r="I60" s="236"/>
      <c r="J60" s="133"/>
      <c r="K60" s="194">
        <f>I60</f>
        <v>0</v>
      </c>
      <c r="L60" s="194">
        <f>I60*H60</f>
        <v>0</v>
      </c>
      <c r="M60" s="114"/>
      <c r="N60" s="131">
        <f>L60</f>
        <v>0</v>
      </c>
      <c r="P60" s="132"/>
      <c r="Z60" s="195"/>
    </row>
    <row r="61" spans="1:26" s="170" customFormat="1" ht="76.5" outlineLevel="1" x14ac:dyDescent="0.25">
      <c r="A61" s="178" t="s">
        <v>216</v>
      </c>
      <c r="B61" s="179" t="s">
        <v>122</v>
      </c>
      <c r="C61" s="179"/>
      <c r="D61" s="180" t="s">
        <v>206</v>
      </c>
      <c r="E61" s="181" t="s">
        <v>6</v>
      </c>
      <c r="F61" s="182" t="s">
        <v>124</v>
      </c>
      <c r="G61" s="183"/>
      <c r="H61" s="104">
        <v>18</v>
      </c>
      <c r="I61" s="143"/>
      <c r="J61" s="105"/>
      <c r="K61" s="184">
        <f>J61</f>
        <v>0</v>
      </c>
      <c r="L61" s="184"/>
      <c r="M61" s="112">
        <f>J61*H61</f>
        <v>0</v>
      </c>
      <c r="N61" s="130">
        <f>M61</f>
        <v>0</v>
      </c>
      <c r="P61" s="201" t="s">
        <v>201</v>
      </c>
      <c r="Z61" s="195"/>
    </row>
    <row r="62" spans="1:26" s="170" customFormat="1" ht="38.25" outlineLevel="1" x14ac:dyDescent="0.25">
      <c r="A62" s="218" t="s">
        <v>220</v>
      </c>
      <c r="B62" s="202"/>
      <c r="C62" s="203"/>
      <c r="D62" s="219" t="s">
        <v>123</v>
      </c>
      <c r="E62" s="191" t="s">
        <v>128</v>
      </c>
      <c r="F62" s="212" t="s">
        <v>124</v>
      </c>
      <c r="G62" s="193">
        <v>1.03</v>
      </c>
      <c r="H62" s="103">
        <f>ROUND((18)*G62,0)</f>
        <v>19</v>
      </c>
      <c r="I62" s="236"/>
      <c r="J62" s="133"/>
      <c r="K62" s="194">
        <f>I62</f>
        <v>0</v>
      </c>
      <c r="L62" s="194">
        <f>I62*H62</f>
        <v>0</v>
      </c>
      <c r="M62" s="114"/>
      <c r="N62" s="131">
        <f>L62</f>
        <v>0</v>
      </c>
      <c r="P62" s="132"/>
      <c r="Z62" s="195"/>
    </row>
    <row r="63" spans="1:26" s="170" customFormat="1" ht="12.75" x14ac:dyDescent="0.25">
      <c r="A63" s="171">
        <v>3</v>
      </c>
      <c r="B63" s="172"/>
      <c r="C63" s="172"/>
      <c r="D63" s="173" t="s">
        <v>190</v>
      </c>
      <c r="E63" s="125"/>
      <c r="F63" s="174"/>
      <c r="G63" s="175"/>
      <c r="H63" s="128"/>
      <c r="I63" s="240"/>
      <c r="J63" s="126"/>
      <c r="K63" s="176"/>
      <c r="L63" s="176"/>
      <c r="M63" s="127"/>
      <c r="N63" s="129"/>
      <c r="P63" s="132"/>
      <c r="Z63" s="195"/>
    </row>
    <row r="64" spans="1:26" s="170" customFormat="1" ht="25.5" outlineLevel="1" x14ac:dyDescent="0.25">
      <c r="A64" s="178" t="s">
        <v>191</v>
      </c>
      <c r="B64" s="179" t="s">
        <v>187</v>
      </c>
      <c r="C64" s="179"/>
      <c r="D64" s="180" t="s">
        <v>189</v>
      </c>
      <c r="E64" s="181" t="s">
        <v>6</v>
      </c>
      <c r="F64" s="182" t="s">
        <v>124</v>
      </c>
      <c r="G64" s="183"/>
      <c r="H64" s="104">
        <f>H65</f>
        <v>30</v>
      </c>
      <c r="I64" s="143"/>
      <c r="J64" s="105"/>
      <c r="K64" s="184">
        <f>J64</f>
        <v>0</v>
      </c>
      <c r="L64" s="184"/>
      <c r="M64" s="112">
        <f>J64*H64</f>
        <v>0</v>
      </c>
      <c r="N64" s="130">
        <f>M64</f>
        <v>0</v>
      </c>
      <c r="P64" s="185" t="s">
        <v>211</v>
      </c>
      <c r="Z64" s="195"/>
    </row>
    <row r="65" spans="1:26" s="170" customFormat="1" ht="25.5" outlineLevel="1" x14ac:dyDescent="0.25">
      <c r="A65" s="218" t="s">
        <v>192</v>
      </c>
      <c r="B65" s="202"/>
      <c r="C65" s="203"/>
      <c r="D65" s="219" t="s">
        <v>188</v>
      </c>
      <c r="E65" s="191" t="s">
        <v>128</v>
      </c>
      <c r="F65" s="212" t="s">
        <v>124</v>
      </c>
      <c r="G65" s="193">
        <v>1</v>
      </c>
      <c r="H65" s="103">
        <v>30</v>
      </c>
      <c r="I65" s="236"/>
      <c r="J65" s="133"/>
      <c r="K65" s="194">
        <f>I65</f>
        <v>0</v>
      </c>
      <c r="L65" s="194">
        <f>I65*H65</f>
        <v>0</v>
      </c>
      <c r="M65" s="114"/>
      <c r="N65" s="131">
        <f>L65</f>
        <v>0</v>
      </c>
      <c r="P65" s="132"/>
      <c r="Z65" s="195"/>
    </row>
    <row r="66" spans="1:26" s="170" customFormat="1" ht="12.75" outlineLevel="1" x14ac:dyDescent="0.25">
      <c r="A66" s="218" t="s">
        <v>197</v>
      </c>
      <c r="B66" s="202"/>
      <c r="C66" s="203"/>
      <c r="D66" s="219" t="s">
        <v>193</v>
      </c>
      <c r="E66" s="191" t="s">
        <v>128</v>
      </c>
      <c r="F66" s="212" t="s">
        <v>59</v>
      </c>
      <c r="G66" s="193">
        <v>1</v>
      </c>
      <c r="H66" s="103">
        <f>ROUNDUP($H$65/2,0)</f>
        <v>15</v>
      </c>
      <c r="I66" s="236"/>
      <c r="J66" s="133"/>
      <c r="K66" s="194">
        <f>I66</f>
        <v>0</v>
      </c>
      <c r="L66" s="194">
        <f>I66*H66</f>
        <v>0</v>
      </c>
      <c r="M66" s="114"/>
      <c r="N66" s="131">
        <f>L66</f>
        <v>0</v>
      </c>
      <c r="P66" s="132"/>
      <c r="Z66" s="195"/>
    </row>
    <row r="67" spans="1:26" s="170" customFormat="1" ht="12.75" outlineLevel="1" x14ac:dyDescent="0.25">
      <c r="A67" s="218" t="s">
        <v>198</v>
      </c>
      <c r="B67" s="202"/>
      <c r="C67" s="203"/>
      <c r="D67" s="219" t="s">
        <v>196</v>
      </c>
      <c r="E67" s="191" t="s">
        <v>128</v>
      </c>
      <c r="F67" s="212" t="s">
        <v>59</v>
      </c>
      <c r="G67" s="193">
        <v>1</v>
      </c>
      <c r="H67" s="103">
        <f>ROUNDUP($H$65/2,0)</f>
        <v>15</v>
      </c>
      <c r="I67" s="236"/>
      <c r="J67" s="133"/>
      <c r="K67" s="194">
        <f>I67</f>
        <v>0</v>
      </c>
      <c r="L67" s="194">
        <f>I67*H67</f>
        <v>0</v>
      </c>
      <c r="M67" s="114"/>
      <c r="N67" s="131">
        <f>L67</f>
        <v>0</v>
      </c>
      <c r="P67" s="132"/>
      <c r="Z67" s="195"/>
    </row>
    <row r="68" spans="1:26" s="170" customFormat="1" ht="12.75" outlineLevel="1" x14ac:dyDescent="0.25">
      <c r="A68" s="218" t="s">
        <v>199</v>
      </c>
      <c r="B68" s="202"/>
      <c r="C68" s="203"/>
      <c r="D68" s="219" t="s">
        <v>195</v>
      </c>
      <c r="E68" s="191" t="s">
        <v>128</v>
      </c>
      <c r="F68" s="212" t="s">
        <v>59</v>
      </c>
      <c r="G68" s="193">
        <v>1</v>
      </c>
      <c r="H68" s="103">
        <f>ROUNDUP($H$65/2,0)</f>
        <v>15</v>
      </c>
      <c r="I68" s="236"/>
      <c r="J68" s="133"/>
      <c r="K68" s="194">
        <f>I68</f>
        <v>0</v>
      </c>
      <c r="L68" s="194">
        <f>I68*H68</f>
        <v>0</v>
      </c>
      <c r="M68" s="114"/>
      <c r="N68" s="131">
        <f>L68</f>
        <v>0</v>
      </c>
      <c r="P68" s="132"/>
      <c r="Z68" s="195"/>
    </row>
    <row r="69" spans="1:26" s="170" customFormat="1" ht="12.75" outlineLevel="1" x14ac:dyDescent="0.25">
      <c r="A69" s="218" t="s">
        <v>200</v>
      </c>
      <c r="B69" s="202"/>
      <c r="C69" s="203"/>
      <c r="D69" s="219" t="s">
        <v>194</v>
      </c>
      <c r="E69" s="191" t="s">
        <v>128</v>
      </c>
      <c r="F69" s="212" t="s">
        <v>59</v>
      </c>
      <c r="G69" s="193">
        <v>1</v>
      </c>
      <c r="H69" s="103">
        <f>ROUNDUP($H$65/2,0)</f>
        <v>15</v>
      </c>
      <c r="I69" s="236"/>
      <c r="J69" s="133"/>
      <c r="K69" s="194">
        <f>I69</f>
        <v>0</v>
      </c>
      <c r="L69" s="194">
        <f>I69*H69</f>
        <v>0</v>
      </c>
      <c r="M69" s="114"/>
      <c r="N69" s="131">
        <f>L69</f>
        <v>0</v>
      </c>
      <c r="P69" s="132"/>
      <c r="Z69" s="195"/>
    </row>
    <row r="70" spans="1:26" s="170" customFormat="1" x14ac:dyDescent="0.25">
      <c r="A70" s="220"/>
      <c r="B70" s="221"/>
      <c r="C70" s="115"/>
      <c r="D70" s="273" t="s">
        <v>282</v>
      </c>
      <c r="E70" s="107"/>
      <c r="F70" s="107"/>
      <c r="G70" s="107"/>
      <c r="H70" s="108"/>
      <c r="I70" s="274"/>
      <c r="J70" s="275"/>
      <c r="K70" s="110"/>
      <c r="L70" s="119"/>
      <c r="M70" s="119"/>
      <c r="N70" s="119"/>
      <c r="P70" s="132"/>
      <c r="Z70" s="195"/>
    </row>
    <row r="71" spans="1:26" s="170" customFormat="1" ht="12.75" x14ac:dyDescent="0.25">
      <c r="A71" s="171">
        <v>4</v>
      </c>
      <c r="B71" s="172"/>
      <c r="C71" s="172"/>
      <c r="D71" s="173" t="s">
        <v>102</v>
      </c>
      <c r="E71" s="125"/>
      <c r="F71" s="174"/>
      <c r="G71" s="175"/>
      <c r="H71" s="128"/>
      <c r="I71" s="240"/>
      <c r="J71" s="126"/>
      <c r="K71" s="176"/>
      <c r="L71" s="176"/>
      <c r="M71" s="127"/>
      <c r="N71" s="129"/>
      <c r="P71" s="111"/>
    </row>
    <row r="72" spans="1:26" s="170" customFormat="1" ht="25.5" outlineLevel="1" x14ac:dyDescent="0.25">
      <c r="A72" s="178" t="s">
        <v>230</v>
      </c>
      <c r="B72" s="179" t="s">
        <v>129</v>
      </c>
      <c r="C72" s="179"/>
      <c r="D72" s="180" t="s">
        <v>126</v>
      </c>
      <c r="E72" s="181" t="s">
        <v>6</v>
      </c>
      <c r="F72" s="182" t="s">
        <v>127</v>
      </c>
      <c r="G72" s="183"/>
      <c r="H72" s="104">
        <v>2</v>
      </c>
      <c r="I72" s="143"/>
      <c r="J72" s="105"/>
      <c r="K72" s="184">
        <f>J72</f>
        <v>0</v>
      </c>
      <c r="L72" s="184"/>
      <c r="M72" s="112">
        <f>J72*H72</f>
        <v>0</v>
      </c>
      <c r="N72" s="130">
        <f>M72</f>
        <v>0</v>
      </c>
      <c r="P72" s="185" t="s">
        <v>211</v>
      </c>
      <c r="U72" s="186"/>
    </row>
    <row r="73" spans="1:26" s="170" customFormat="1" outlineLevel="1" x14ac:dyDescent="0.25">
      <c r="A73" s="187" t="s">
        <v>231</v>
      </c>
      <c r="B73" s="188"/>
      <c r="C73" s="189"/>
      <c r="D73" s="190" t="s">
        <v>109</v>
      </c>
      <c r="E73" s="191" t="s">
        <v>128</v>
      </c>
      <c r="F73" s="192" t="s">
        <v>59</v>
      </c>
      <c r="G73" s="193">
        <v>1</v>
      </c>
      <c r="H73" s="103">
        <v>2</v>
      </c>
      <c r="I73" s="236"/>
      <c r="J73" s="106"/>
      <c r="K73" s="194">
        <f>I73</f>
        <v>0</v>
      </c>
      <c r="L73" s="194">
        <f>I73*H73</f>
        <v>0</v>
      </c>
      <c r="M73" s="114"/>
      <c r="N73" s="131">
        <f>L73</f>
        <v>0</v>
      </c>
      <c r="P73" s="111"/>
      <c r="Z73" s="195"/>
    </row>
    <row r="74" spans="1:26" s="170" customFormat="1" outlineLevel="1" x14ac:dyDescent="0.25">
      <c r="A74" s="187" t="s">
        <v>232</v>
      </c>
      <c r="B74" s="188"/>
      <c r="C74" s="189"/>
      <c r="D74" s="190" t="s">
        <v>112</v>
      </c>
      <c r="E74" s="191" t="s">
        <v>128</v>
      </c>
      <c r="F74" s="192" t="s">
        <v>59</v>
      </c>
      <c r="G74" s="193">
        <v>1</v>
      </c>
      <c r="H74" s="103">
        <v>2</v>
      </c>
      <c r="I74" s="236"/>
      <c r="J74" s="113"/>
      <c r="K74" s="194">
        <f>I74</f>
        <v>0</v>
      </c>
      <c r="L74" s="194">
        <f>I74*H74</f>
        <v>0</v>
      </c>
      <c r="M74" s="114"/>
      <c r="N74" s="131">
        <f>L74</f>
        <v>0</v>
      </c>
      <c r="P74" s="111"/>
      <c r="Z74" s="195"/>
    </row>
    <row r="75" spans="1:26" s="170" customFormat="1" ht="12.75" outlineLevel="1" x14ac:dyDescent="0.25">
      <c r="A75" s="178" t="s">
        <v>233</v>
      </c>
      <c r="B75" s="179"/>
      <c r="C75" s="179"/>
      <c r="D75" s="180" t="s">
        <v>153</v>
      </c>
      <c r="E75" s="181" t="s">
        <v>6</v>
      </c>
      <c r="F75" s="182" t="s">
        <v>59</v>
      </c>
      <c r="G75" s="183"/>
      <c r="H75" s="104">
        <f>H77</f>
        <v>2</v>
      </c>
      <c r="I75" s="143"/>
      <c r="J75" s="237"/>
      <c r="K75" s="184">
        <f>J75</f>
        <v>0</v>
      </c>
      <c r="L75" s="184"/>
      <c r="M75" s="112">
        <f>J75*H75</f>
        <v>0</v>
      </c>
      <c r="N75" s="130">
        <f>M75</f>
        <v>0</v>
      </c>
      <c r="P75" s="185" t="s">
        <v>211</v>
      </c>
      <c r="Z75" s="195"/>
    </row>
    <row r="76" spans="1:26" s="170" customFormat="1" ht="15" customHeight="1" outlineLevel="1" x14ac:dyDescent="0.25">
      <c r="A76" s="196" t="s">
        <v>234</v>
      </c>
      <c r="B76" s="197"/>
      <c r="C76" s="197"/>
      <c r="D76" s="198" t="s">
        <v>149</v>
      </c>
      <c r="E76" s="191" t="s">
        <v>128</v>
      </c>
      <c r="F76" s="199" t="s">
        <v>59</v>
      </c>
      <c r="G76" s="200">
        <v>1</v>
      </c>
      <c r="H76" s="138">
        <v>2</v>
      </c>
      <c r="I76" s="238"/>
      <c r="J76" s="239"/>
      <c r="K76" s="194">
        <f t="shared" ref="K76:K79" si="24">I76</f>
        <v>0</v>
      </c>
      <c r="L76" s="194">
        <f t="shared" ref="L76:L83" si="25">I76*H76</f>
        <v>0</v>
      </c>
      <c r="M76" s="114"/>
      <c r="N76" s="131">
        <f t="shared" ref="N76:N83" si="26">L76</f>
        <v>0</v>
      </c>
      <c r="P76" s="137"/>
      <c r="Z76" s="195"/>
    </row>
    <row r="77" spans="1:26" s="170" customFormat="1" outlineLevel="1" x14ac:dyDescent="0.25">
      <c r="A77" s="187" t="s">
        <v>235</v>
      </c>
      <c r="B77" s="188"/>
      <c r="C77" s="189"/>
      <c r="D77" s="198" t="s">
        <v>130</v>
      </c>
      <c r="E77" s="191" t="s">
        <v>128</v>
      </c>
      <c r="F77" s="192" t="s">
        <v>59</v>
      </c>
      <c r="G77" s="193">
        <v>1</v>
      </c>
      <c r="H77" s="103">
        <v>2</v>
      </c>
      <c r="I77" s="236"/>
      <c r="J77" s="113"/>
      <c r="K77" s="194">
        <f t="shared" si="24"/>
        <v>0</v>
      </c>
      <c r="L77" s="194">
        <f t="shared" si="25"/>
        <v>0</v>
      </c>
      <c r="M77" s="114"/>
      <c r="N77" s="131">
        <f t="shared" si="26"/>
        <v>0</v>
      </c>
      <c r="P77" s="111"/>
      <c r="Z77" s="195"/>
    </row>
    <row r="78" spans="1:26" s="170" customFormat="1" outlineLevel="1" x14ac:dyDescent="0.25">
      <c r="A78" s="196" t="s">
        <v>236</v>
      </c>
      <c r="B78" s="202"/>
      <c r="C78" s="203"/>
      <c r="D78" s="198" t="s">
        <v>151</v>
      </c>
      <c r="E78" s="191" t="s">
        <v>128</v>
      </c>
      <c r="F78" s="192" t="s">
        <v>59</v>
      </c>
      <c r="G78" s="193">
        <v>1</v>
      </c>
      <c r="H78" s="103">
        <v>2</v>
      </c>
      <c r="I78" s="236"/>
      <c r="J78" s="133"/>
      <c r="K78" s="194">
        <f t="shared" si="24"/>
        <v>0</v>
      </c>
      <c r="L78" s="204">
        <f t="shared" si="25"/>
        <v>0</v>
      </c>
      <c r="M78" s="134"/>
      <c r="N78" s="136">
        <f t="shared" si="26"/>
        <v>0</v>
      </c>
      <c r="P78" s="132"/>
      <c r="Z78" s="195"/>
    </row>
    <row r="79" spans="1:26" s="170" customFormat="1" ht="30" outlineLevel="1" x14ac:dyDescent="0.25">
      <c r="A79" s="187" t="s">
        <v>237</v>
      </c>
      <c r="B79" s="202"/>
      <c r="C79" s="203"/>
      <c r="D79" s="198" t="s">
        <v>150</v>
      </c>
      <c r="E79" s="191" t="s">
        <v>128</v>
      </c>
      <c r="F79" s="192" t="s">
        <v>59</v>
      </c>
      <c r="G79" s="193">
        <v>1</v>
      </c>
      <c r="H79" s="103">
        <v>2</v>
      </c>
      <c r="I79" s="236"/>
      <c r="J79" s="133"/>
      <c r="K79" s="194">
        <f t="shared" si="24"/>
        <v>0</v>
      </c>
      <c r="L79" s="204">
        <f t="shared" si="25"/>
        <v>0</v>
      </c>
      <c r="M79" s="134"/>
      <c r="N79" s="136">
        <f t="shared" si="26"/>
        <v>0</v>
      </c>
      <c r="P79" s="132"/>
      <c r="Z79" s="195"/>
    </row>
    <row r="80" spans="1:26" s="170" customFormat="1" ht="12.75" outlineLevel="1" x14ac:dyDescent="0.25">
      <c r="A80" s="178" t="s">
        <v>238</v>
      </c>
      <c r="B80" s="179" t="s">
        <v>117</v>
      </c>
      <c r="C80" s="179"/>
      <c r="D80" s="180" t="s">
        <v>116</v>
      </c>
      <c r="E80" s="181" t="s">
        <v>6</v>
      </c>
      <c r="F80" s="182" t="s">
        <v>59</v>
      </c>
      <c r="G80" s="183"/>
      <c r="H80" s="104">
        <f>H81</f>
        <v>2</v>
      </c>
      <c r="I80" s="143"/>
      <c r="J80" s="105"/>
      <c r="K80" s="184">
        <f>J80</f>
        <v>0</v>
      </c>
      <c r="L80" s="184"/>
      <c r="M80" s="112">
        <f>J80*H80</f>
        <v>0</v>
      </c>
      <c r="N80" s="130">
        <f>M80</f>
        <v>0</v>
      </c>
      <c r="P80" s="185" t="s">
        <v>211</v>
      </c>
      <c r="Z80" s="195"/>
    </row>
    <row r="81" spans="1:26" s="170" customFormat="1" ht="12.75" outlineLevel="1" x14ac:dyDescent="0.25">
      <c r="A81" s="187" t="s">
        <v>239</v>
      </c>
      <c r="B81" s="188"/>
      <c r="C81" s="189"/>
      <c r="D81" s="206" t="s">
        <v>118</v>
      </c>
      <c r="E81" s="191" t="s">
        <v>128</v>
      </c>
      <c r="F81" s="192" t="s">
        <v>59</v>
      </c>
      <c r="G81" s="193">
        <v>1</v>
      </c>
      <c r="H81" s="103">
        <v>2</v>
      </c>
      <c r="I81" s="236"/>
      <c r="J81" s="113"/>
      <c r="K81" s="194">
        <f>I81</f>
        <v>0</v>
      </c>
      <c r="L81" s="194">
        <f>I81*H81</f>
        <v>0</v>
      </c>
      <c r="M81" s="114"/>
      <c r="N81" s="131">
        <f>L81</f>
        <v>0</v>
      </c>
      <c r="P81" s="132"/>
      <c r="Z81" s="195"/>
    </row>
    <row r="82" spans="1:26" s="170" customFormat="1" ht="12.75" outlineLevel="1" x14ac:dyDescent="0.25">
      <c r="A82" s="178" t="s">
        <v>240</v>
      </c>
      <c r="B82" s="179" t="s">
        <v>132</v>
      </c>
      <c r="C82" s="179"/>
      <c r="D82" s="180" t="s">
        <v>131</v>
      </c>
      <c r="E82" s="181" t="s">
        <v>6</v>
      </c>
      <c r="F82" s="182" t="s">
        <v>59</v>
      </c>
      <c r="G82" s="183"/>
      <c r="H82" s="104">
        <f>H83</f>
        <v>2</v>
      </c>
      <c r="I82" s="143"/>
      <c r="J82" s="237"/>
      <c r="K82" s="184">
        <f>J82</f>
        <v>0</v>
      </c>
      <c r="L82" s="184"/>
      <c r="M82" s="112">
        <f>J82*H82</f>
        <v>0</v>
      </c>
      <c r="N82" s="130">
        <f>M82</f>
        <v>0</v>
      </c>
      <c r="P82" s="185" t="s">
        <v>211</v>
      </c>
      <c r="Z82" s="195"/>
    </row>
    <row r="83" spans="1:26" s="170" customFormat="1" ht="36" customHeight="1" outlineLevel="1" x14ac:dyDescent="0.25">
      <c r="A83" s="187" t="s">
        <v>241</v>
      </c>
      <c r="B83" s="188"/>
      <c r="C83" s="189" t="s">
        <v>182</v>
      </c>
      <c r="D83" s="207" t="s">
        <v>222</v>
      </c>
      <c r="E83" s="191" t="s">
        <v>128</v>
      </c>
      <c r="F83" s="192" t="s">
        <v>141</v>
      </c>
      <c r="G83" s="193">
        <v>1</v>
      </c>
      <c r="H83" s="103">
        <v>2</v>
      </c>
      <c r="I83" s="236"/>
      <c r="J83" s="113"/>
      <c r="K83" s="194">
        <f>I83</f>
        <v>0</v>
      </c>
      <c r="L83" s="194">
        <f t="shared" si="25"/>
        <v>0</v>
      </c>
      <c r="M83" s="114"/>
      <c r="N83" s="131">
        <f t="shared" si="26"/>
        <v>0</v>
      </c>
      <c r="P83" s="111"/>
      <c r="Z83" s="195"/>
    </row>
    <row r="84" spans="1:26" s="170" customFormat="1" outlineLevel="1" x14ac:dyDescent="0.25">
      <c r="A84" s="187" t="s">
        <v>242</v>
      </c>
      <c r="B84" s="188"/>
      <c r="C84" s="189"/>
      <c r="D84" s="198" t="s">
        <v>133</v>
      </c>
      <c r="E84" s="191" t="s">
        <v>128</v>
      </c>
      <c r="F84" s="192" t="s">
        <v>59</v>
      </c>
      <c r="G84" s="193">
        <v>1</v>
      </c>
      <c r="H84" s="103">
        <f>1*2</f>
        <v>2</v>
      </c>
      <c r="I84" s="135"/>
      <c r="J84" s="194"/>
      <c r="K84" s="194"/>
      <c r="L84" s="194"/>
      <c r="M84" s="114"/>
      <c r="N84" s="131"/>
      <c r="P84" s="111"/>
      <c r="Z84" s="195"/>
    </row>
    <row r="85" spans="1:26" s="170" customFormat="1" outlineLevel="1" x14ac:dyDescent="0.25">
      <c r="A85" s="187" t="s">
        <v>243</v>
      </c>
      <c r="B85" s="202"/>
      <c r="C85" s="203"/>
      <c r="D85" s="208" t="s">
        <v>142</v>
      </c>
      <c r="E85" s="191" t="s">
        <v>128</v>
      </c>
      <c r="F85" s="192" t="s">
        <v>59</v>
      </c>
      <c r="G85" s="193">
        <v>1</v>
      </c>
      <c r="H85" s="103">
        <f>2*2</f>
        <v>4</v>
      </c>
      <c r="I85" s="135"/>
      <c r="J85" s="204"/>
      <c r="K85" s="194"/>
      <c r="L85" s="194"/>
      <c r="M85" s="114"/>
      <c r="N85" s="131"/>
      <c r="P85" s="132"/>
      <c r="Z85" s="195"/>
    </row>
    <row r="86" spans="1:26" s="170" customFormat="1" outlineLevel="1" x14ac:dyDescent="0.25">
      <c r="A86" s="187" t="s">
        <v>248</v>
      </c>
      <c r="B86" s="202"/>
      <c r="C86" s="203"/>
      <c r="D86" s="208" t="s">
        <v>143</v>
      </c>
      <c r="E86" s="191" t="s">
        <v>128</v>
      </c>
      <c r="F86" s="192" t="s">
        <v>59</v>
      </c>
      <c r="G86" s="193">
        <v>1</v>
      </c>
      <c r="H86" s="103">
        <f>1*2</f>
        <v>2</v>
      </c>
      <c r="I86" s="135"/>
      <c r="J86" s="204"/>
      <c r="K86" s="194"/>
      <c r="L86" s="194"/>
      <c r="M86" s="114"/>
      <c r="N86" s="131"/>
      <c r="P86" s="132"/>
      <c r="Z86" s="195"/>
    </row>
    <row r="87" spans="1:26" s="170" customFormat="1" ht="15.75" customHeight="1" outlineLevel="1" x14ac:dyDescent="0.25">
      <c r="A87" s="187" t="s">
        <v>284</v>
      </c>
      <c r="B87" s="202"/>
      <c r="C87" s="203"/>
      <c r="D87" s="209" t="s">
        <v>144</v>
      </c>
      <c r="E87" s="191" t="s">
        <v>128</v>
      </c>
      <c r="F87" s="192" t="s">
        <v>59</v>
      </c>
      <c r="G87" s="193">
        <v>1</v>
      </c>
      <c r="H87" s="103">
        <f>1*2</f>
        <v>2</v>
      </c>
      <c r="I87" s="135"/>
      <c r="J87" s="204"/>
      <c r="K87" s="194"/>
      <c r="L87" s="194"/>
      <c r="M87" s="114"/>
      <c r="N87" s="131"/>
      <c r="P87" s="132"/>
      <c r="Z87" s="195"/>
    </row>
    <row r="88" spans="1:26" s="170" customFormat="1" outlineLevel="1" x14ac:dyDescent="0.25">
      <c r="A88" s="187" t="s">
        <v>285</v>
      </c>
      <c r="B88" s="202"/>
      <c r="C88" s="203"/>
      <c r="D88" s="208" t="s">
        <v>145</v>
      </c>
      <c r="E88" s="191" t="s">
        <v>128</v>
      </c>
      <c r="F88" s="192" t="s">
        <v>59</v>
      </c>
      <c r="G88" s="193">
        <v>1</v>
      </c>
      <c r="H88" s="103">
        <f>2*2</f>
        <v>4</v>
      </c>
      <c r="I88" s="135"/>
      <c r="J88" s="204"/>
      <c r="K88" s="194"/>
      <c r="L88" s="194"/>
      <c r="M88" s="114"/>
      <c r="N88" s="131"/>
      <c r="P88" s="132"/>
      <c r="Z88" s="195"/>
    </row>
    <row r="89" spans="1:26" s="170" customFormat="1" outlineLevel="1" x14ac:dyDescent="0.25">
      <c r="A89" s="187" t="s">
        <v>286</v>
      </c>
      <c r="B89" s="202"/>
      <c r="C89" s="203"/>
      <c r="D89" s="208" t="s">
        <v>146</v>
      </c>
      <c r="E89" s="191" t="s">
        <v>128</v>
      </c>
      <c r="F89" s="192" t="s">
        <v>59</v>
      </c>
      <c r="G89" s="193">
        <v>1</v>
      </c>
      <c r="H89" s="103">
        <f>1*2</f>
        <v>2</v>
      </c>
      <c r="I89" s="135"/>
      <c r="J89" s="204"/>
      <c r="K89" s="194"/>
      <c r="L89" s="194"/>
      <c r="M89" s="114"/>
      <c r="N89" s="131"/>
      <c r="P89" s="132"/>
      <c r="Z89" s="195"/>
    </row>
    <row r="90" spans="1:26" s="170" customFormat="1" outlineLevel="1" x14ac:dyDescent="0.25">
      <c r="A90" s="187" t="s">
        <v>287</v>
      </c>
      <c r="B90" s="202"/>
      <c r="C90" s="203"/>
      <c r="D90" s="208" t="s">
        <v>147</v>
      </c>
      <c r="E90" s="191" t="s">
        <v>128</v>
      </c>
      <c r="F90" s="192" t="s">
        <v>59</v>
      </c>
      <c r="G90" s="193">
        <v>1</v>
      </c>
      <c r="H90" s="103">
        <f>1*2</f>
        <v>2</v>
      </c>
      <c r="I90" s="135"/>
      <c r="J90" s="204"/>
      <c r="K90" s="194"/>
      <c r="L90" s="194"/>
      <c r="M90" s="114"/>
      <c r="N90" s="131"/>
      <c r="P90" s="132"/>
      <c r="Z90" s="195"/>
    </row>
    <row r="91" spans="1:26" s="170" customFormat="1" ht="76.5" outlineLevel="1" x14ac:dyDescent="0.25">
      <c r="A91" s="178" t="s">
        <v>244</v>
      </c>
      <c r="B91" s="179" t="s">
        <v>134</v>
      </c>
      <c r="C91" s="179"/>
      <c r="D91" s="180" t="s">
        <v>202</v>
      </c>
      <c r="E91" s="181" t="s">
        <v>6</v>
      </c>
      <c r="F91" s="182" t="s">
        <v>124</v>
      </c>
      <c r="G91" s="262"/>
      <c r="H91" s="104">
        <f>83*4+34+25</f>
        <v>391</v>
      </c>
      <c r="I91" s="143"/>
      <c r="J91" s="237"/>
      <c r="K91" s="184">
        <f>J91</f>
        <v>0</v>
      </c>
      <c r="L91" s="184"/>
      <c r="M91" s="112">
        <f>J91*H91</f>
        <v>0</v>
      </c>
      <c r="N91" s="130">
        <f>M91</f>
        <v>0</v>
      </c>
      <c r="P91" s="185" t="s">
        <v>201</v>
      </c>
      <c r="Z91" s="195"/>
    </row>
    <row r="92" spans="1:26" s="170" customFormat="1" ht="45" outlineLevel="1" x14ac:dyDescent="0.25">
      <c r="A92" s="210" t="s">
        <v>245</v>
      </c>
      <c r="B92" s="202"/>
      <c r="C92" s="203"/>
      <c r="D92" s="208" t="s">
        <v>135</v>
      </c>
      <c r="E92" s="211" t="s">
        <v>128</v>
      </c>
      <c r="F92" s="212" t="s">
        <v>124</v>
      </c>
      <c r="G92" s="193">
        <v>1.03</v>
      </c>
      <c r="H92" s="103">
        <f>ROUND((83+83)*G92,0)</f>
        <v>171</v>
      </c>
      <c r="I92" s="236"/>
      <c r="J92" s="133"/>
      <c r="K92" s="194">
        <f t="shared" ref="K92:K99" si="27">I92</f>
        <v>0</v>
      </c>
      <c r="L92" s="194">
        <f t="shared" ref="L92:L99" si="28">I92*H92</f>
        <v>0</v>
      </c>
      <c r="M92" s="114"/>
      <c r="N92" s="131">
        <f t="shared" ref="N92:N99" si="29">L92</f>
        <v>0</v>
      </c>
      <c r="P92" s="132"/>
      <c r="Z92" s="195"/>
    </row>
    <row r="93" spans="1:26" s="170" customFormat="1" ht="45" outlineLevel="1" x14ac:dyDescent="0.25">
      <c r="A93" s="210" t="s">
        <v>246</v>
      </c>
      <c r="B93" s="202"/>
      <c r="C93" s="203"/>
      <c r="D93" s="208" t="s">
        <v>138</v>
      </c>
      <c r="E93" s="211" t="s">
        <v>128</v>
      </c>
      <c r="F93" s="212" t="s">
        <v>124</v>
      </c>
      <c r="G93" s="193">
        <v>1.03</v>
      </c>
      <c r="H93" s="103">
        <f>ROUND((83+83)*G93,0)</f>
        <v>171</v>
      </c>
      <c r="I93" s="236"/>
      <c r="J93" s="133"/>
      <c r="K93" s="194">
        <f t="shared" si="27"/>
        <v>0</v>
      </c>
      <c r="L93" s="194">
        <f t="shared" si="28"/>
        <v>0</v>
      </c>
      <c r="M93" s="114"/>
      <c r="N93" s="131">
        <f t="shared" si="29"/>
        <v>0</v>
      </c>
      <c r="P93" s="132"/>
      <c r="Z93" s="195"/>
    </row>
    <row r="94" spans="1:26" s="170" customFormat="1" ht="45" outlineLevel="1" x14ac:dyDescent="0.25">
      <c r="A94" s="210" t="s">
        <v>247</v>
      </c>
      <c r="B94" s="202"/>
      <c r="C94" s="203"/>
      <c r="D94" s="208" t="s">
        <v>136</v>
      </c>
      <c r="E94" s="211" t="s">
        <v>128</v>
      </c>
      <c r="F94" s="212" t="s">
        <v>124</v>
      </c>
      <c r="G94" s="193">
        <v>1.03</v>
      </c>
      <c r="H94" s="103">
        <f>ROUND((34+25)*G94,0)</f>
        <v>61</v>
      </c>
      <c r="I94" s="236"/>
      <c r="J94" s="133"/>
      <c r="K94" s="194">
        <f t="shared" si="27"/>
        <v>0</v>
      </c>
      <c r="L94" s="194">
        <f t="shared" si="28"/>
        <v>0</v>
      </c>
      <c r="M94" s="114"/>
      <c r="N94" s="131">
        <f t="shared" si="29"/>
        <v>0</v>
      </c>
      <c r="P94" s="132"/>
      <c r="Z94" s="195"/>
    </row>
    <row r="95" spans="1:26" s="170" customFormat="1" ht="76.5" outlineLevel="1" x14ac:dyDescent="0.25">
      <c r="A95" s="178" t="s">
        <v>249</v>
      </c>
      <c r="B95" s="179" t="s">
        <v>134</v>
      </c>
      <c r="C95" s="179"/>
      <c r="D95" s="180" t="s">
        <v>213</v>
      </c>
      <c r="E95" s="181" t="s">
        <v>6</v>
      </c>
      <c r="F95" s="182" t="s">
        <v>124</v>
      </c>
      <c r="G95" s="262"/>
      <c r="H95" s="104">
        <f>38*4+179*16</f>
        <v>3016</v>
      </c>
      <c r="I95" s="143"/>
      <c r="J95" s="237"/>
      <c r="K95" s="184">
        <f>J95</f>
        <v>0</v>
      </c>
      <c r="L95" s="184"/>
      <c r="M95" s="112">
        <f>J95*H95</f>
        <v>0</v>
      </c>
      <c r="N95" s="130">
        <f>M95</f>
        <v>0</v>
      </c>
      <c r="P95" s="185" t="s">
        <v>201</v>
      </c>
      <c r="Z95" s="195"/>
    </row>
    <row r="96" spans="1:26" s="170" customFormat="1" ht="45" outlineLevel="1" x14ac:dyDescent="0.25">
      <c r="A96" s="210" t="s">
        <v>250</v>
      </c>
      <c r="B96" s="202"/>
      <c r="C96" s="203"/>
      <c r="D96" s="208" t="s">
        <v>135</v>
      </c>
      <c r="E96" s="211" t="s">
        <v>128</v>
      </c>
      <c r="F96" s="212" t="s">
        <v>124</v>
      </c>
      <c r="G96" s="193">
        <v>1.03</v>
      </c>
      <c r="H96" s="103">
        <f>ROUND((38*2+179*16)*G96,0)</f>
        <v>3028</v>
      </c>
      <c r="I96" s="236"/>
      <c r="J96" s="133"/>
      <c r="K96" s="194">
        <f t="shared" ref="K96:K97" si="30">I96</f>
        <v>0</v>
      </c>
      <c r="L96" s="194">
        <f t="shared" ref="L96:L97" si="31">I96*H96</f>
        <v>0</v>
      </c>
      <c r="M96" s="114"/>
      <c r="N96" s="131">
        <f t="shared" ref="N96:N97" si="32">L96</f>
        <v>0</v>
      </c>
      <c r="P96" s="132"/>
      <c r="Z96" s="195"/>
    </row>
    <row r="97" spans="1:26" s="170" customFormat="1" ht="45" outlineLevel="1" x14ac:dyDescent="0.25">
      <c r="A97" s="210" t="s">
        <v>251</v>
      </c>
      <c r="B97" s="202"/>
      <c r="C97" s="203"/>
      <c r="D97" s="208" t="s">
        <v>138</v>
      </c>
      <c r="E97" s="211" t="s">
        <v>128</v>
      </c>
      <c r="F97" s="212" t="s">
        <v>124</v>
      </c>
      <c r="G97" s="193">
        <v>1.03</v>
      </c>
      <c r="H97" s="103">
        <f>ROUND((38*2)*G97,0)</f>
        <v>78</v>
      </c>
      <c r="I97" s="236"/>
      <c r="J97" s="133"/>
      <c r="K97" s="194">
        <f t="shared" si="30"/>
        <v>0</v>
      </c>
      <c r="L97" s="194">
        <f t="shared" si="31"/>
        <v>0</v>
      </c>
      <c r="M97" s="114"/>
      <c r="N97" s="131">
        <f t="shared" si="32"/>
        <v>0</v>
      </c>
      <c r="P97" s="132"/>
      <c r="Z97" s="195"/>
    </row>
    <row r="98" spans="1:26" s="170" customFormat="1" outlineLevel="1" x14ac:dyDescent="0.25">
      <c r="A98" s="210" t="s">
        <v>252</v>
      </c>
      <c r="B98" s="202"/>
      <c r="C98" s="203"/>
      <c r="D98" s="208" t="s">
        <v>139</v>
      </c>
      <c r="E98" s="211" t="s">
        <v>128</v>
      </c>
      <c r="F98" s="212" t="s">
        <v>124</v>
      </c>
      <c r="G98" s="193">
        <v>1.1000000000000001</v>
      </c>
      <c r="H98" s="103">
        <f>ROUND(3016*G98,0)</f>
        <v>3318</v>
      </c>
      <c r="I98" s="236"/>
      <c r="J98" s="133"/>
      <c r="K98" s="194">
        <f t="shared" si="27"/>
        <v>0</v>
      </c>
      <c r="L98" s="194">
        <f t="shared" si="28"/>
        <v>0</v>
      </c>
      <c r="M98" s="114"/>
      <c r="N98" s="131">
        <f t="shared" si="29"/>
        <v>0</v>
      </c>
      <c r="P98" s="132"/>
      <c r="Z98" s="195"/>
    </row>
    <row r="99" spans="1:26" s="170" customFormat="1" outlineLevel="1" x14ac:dyDescent="0.25">
      <c r="A99" s="210" t="s">
        <v>288</v>
      </c>
      <c r="B99" s="202"/>
      <c r="C99" s="203"/>
      <c r="D99" s="208" t="s">
        <v>152</v>
      </c>
      <c r="E99" s="211" t="s">
        <v>128</v>
      </c>
      <c r="F99" s="212" t="s">
        <v>59</v>
      </c>
      <c r="G99" s="193">
        <v>1</v>
      </c>
      <c r="H99" s="103">
        <v>32</v>
      </c>
      <c r="I99" s="236"/>
      <c r="J99" s="133"/>
      <c r="K99" s="194">
        <f t="shared" si="27"/>
        <v>0</v>
      </c>
      <c r="L99" s="194">
        <f t="shared" si="28"/>
        <v>0</v>
      </c>
      <c r="M99" s="114"/>
      <c r="N99" s="131">
        <f t="shared" si="29"/>
        <v>0</v>
      </c>
      <c r="P99" s="132"/>
      <c r="Z99" s="195"/>
    </row>
    <row r="100" spans="1:26" s="170" customFormat="1" ht="76.5" outlineLevel="1" x14ac:dyDescent="0.25">
      <c r="A100" s="178" t="s">
        <v>253</v>
      </c>
      <c r="B100" s="179" t="s">
        <v>134</v>
      </c>
      <c r="C100" s="179"/>
      <c r="D100" s="180" t="s">
        <v>206</v>
      </c>
      <c r="E100" s="181" t="s">
        <v>6</v>
      </c>
      <c r="F100" s="182" t="s">
        <v>124</v>
      </c>
      <c r="G100" s="262"/>
      <c r="H100" s="104">
        <f>6*4+93*2</f>
        <v>210</v>
      </c>
      <c r="I100" s="143"/>
      <c r="J100" s="237"/>
      <c r="K100" s="184">
        <f>J100</f>
        <v>0</v>
      </c>
      <c r="L100" s="184"/>
      <c r="M100" s="112">
        <f>J100*H100</f>
        <v>0</v>
      </c>
      <c r="N100" s="130">
        <f>M100</f>
        <v>0</v>
      </c>
      <c r="P100" s="185" t="s">
        <v>201</v>
      </c>
      <c r="Z100" s="195"/>
    </row>
    <row r="101" spans="1:26" s="170" customFormat="1" ht="45" outlineLevel="1" x14ac:dyDescent="0.25">
      <c r="A101" s="210" t="s">
        <v>254</v>
      </c>
      <c r="B101" s="202"/>
      <c r="C101" s="203"/>
      <c r="D101" s="208" t="s">
        <v>135</v>
      </c>
      <c r="E101" s="211" t="s">
        <v>128</v>
      </c>
      <c r="F101" s="212" t="s">
        <v>124</v>
      </c>
      <c r="G101" s="193">
        <v>1.03</v>
      </c>
      <c r="H101" s="103">
        <f>ROUND((6+6)*G101,0)</f>
        <v>12</v>
      </c>
      <c r="I101" s="236"/>
      <c r="J101" s="133"/>
      <c r="K101" s="194">
        <f t="shared" ref="K101:K103" si="33">I101</f>
        <v>0</v>
      </c>
      <c r="L101" s="194">
        <f t="shared" ref="L101:L103" si="34">I101*H101</f>
        <v>0</v>
      </c>
      <c r="M101" s="114"/>
      <c r="N101" s="131">
        <f t="shared" ref="N101:N103" si="35">L101</f>
        <v>0</v>
      </c>
      <c r="P101" s="132"/>
      <c r="Z101" s="195"/>
    </row>
    <row r="102" spans="1:26" s="170" customFormat="1" ht="45" outlineLevel="1" x14ac:dyDescent="0.25">
      <c r="A102" s="210" t="s">
        <v>289</v>
      </c>
      <c r="B102" s="202"/>
      <c r="C102" s="203"/>
      <c r="D102" s="208" t="s">
        <v>138</v>
      </c>
      <c r="E102" s="211" t="s">
        <v>128</v>
      </c>
      <c r="F102" s="212" t="s">
        <v>124</v>
      </c>
      <c r="G102" s="193">
        <v>1.03</v>
      </c>
      <c r="H102" s="103">
        <f>ROUND((6+6)*G102,0)</f>
        <v>12</v>
      </c>
      <c r="I102" s="236"/>
      <c r="J102" s="133"/>
      <c r="K102" s="194">
        <f t="shared" si="33"/>
        <v>0</v>
      </c>
      <c r="L102" s="194">
        <f t="shared" si="34"/>
        <v>0</v>
      </c>
      <c r="M102" s="114"/>
      <c r="N102" s="131">
        <f t="shared" si="35"/>
        <v>0</v>
      </c>
      <c r="P102" s="132"/>
      <c r="Z102" s="195"/>
    </row>
    <row r="103" spans="1:26" s="170" customFormat="1" ht="45" outlineLevel="1" x14ac:dyDescent="0.25">
      <c r="A103" s="210" t="s">
        <v>290</v>
      </c>
      <c r="B103" s="202"/>
      <c r="C103" s="203"/>
      <c r="D103" s="208" t="s">
        <v>136</v>
      </c>
      <c r="E103" s="211" t="s">
        <v>128</v>
      </c>
      <c r="F103" s="212" t="s">
        <v>124</v>
      </c>
      <c r="G103" s="193">
        <v>1.03</v>
      </c>
      <c r="H103" s="103">
        <f>ROUND((93+93)*G103,0)</f>
        <v>192</v>
      </c>
      <c r="I103" s="236"/>
      <c r="J103" s="133"/>
      <c r="K103" s="194">
        <f t="shared" si="33"/>
        <v>0</v>
      </c>
      <c r="L103" s="194">
        <f t="shared" si="34"/>
        <v>0</v>
      </c>
      <c r="M103" s="114"/>
      <c r="N103" s="131">
        <f t="shared" si="35"/>
        <v>0</v>
      </c>
      <c r="P103" s="132"/>
      <c r="Z103" s="195"/>
    </row>
    <row r="104" spans="1:26" s="170" customFormat="1" ht="12.75" outlineLevel="1" x14ac:dyDescent="0.25">
      <c r="A104" s="178" t="s">
        <v>291</v>
      </c>
      <c r="B104" s="179"/>
      <c r="C104" s="179"/>
      <c r="D104" s="180" t="s">
        <v>225</v>
      </c>
      <c r="E104" s="181" t="s">
        <v>6</v>
      </c>
      <c r="F104" s="182" t="s">
        <v>59</v>
      </c>
      <c r="G104" s="183"/>
      <c r="H104" s="104">
        <f>H105</f>
        <v>384</v>
      </c>
      <c r="I104" s="143"/>
      <c r="J104" s="237"/>
      <c r="K104" s="184">
        <f>J104</f>
        <v>0</v>
      </c>
      <c r="L104" s="184"/>
      <c r="M104" s="112">
        <f>J104*H104</f>
        <v>0</v>
      </c>
      <c r="N104" s="130">
        <f>M104</f>
        <v>0</v>
      </c>
      <c r="P104" s="185" t="s">
        <v>211</v>
      </c>
      <c r="Z104" s="195"/>
    </row>
    <row r="105" spans="1:26" s="170" customFormat="1" outlineLevel="1" x14ac:dyDescent="0.25">
      <c r="A105" s="187" t="s">
        <v>292</v>
      </c>
      <c r="B105" s="188"/>
      <c r="C105" s="189"/>
      <c r="D105" s="207" t="s">
        <v>148</v>
      </c>
      <c r="E105" s="191" t="s">
        <v>128</v>
      </c>
      <c r="F105" s="192" t="s">
        <v>59</v>
      </c>
      <c r="G105" s="193">
        <v>1</v>
      </c>
      <c r="H105" s="103">
        <f>192*2</f>
        <v>384</v>
      </c>
      <c r="I105" s="236"/>
      <c r="J105" s="113"/>
      <c r="K105" s="194">
        <f>I105</f>
        <v>0</v>
      </c>
      <c r="L105" s="194">
        <f>I105*H105</f>
        <v>0</v>
      </c>
      <c r="M105" s="114"/>
      <c r="N105" s="131">
        <f>L105</f>
        <v>0</v>
      </c>
      <c r="P105" s="132"/>
      <c r="Z105" s="195"/>
    </row>
    <row r="106" spans="1:26" s="170" customFormat="1" ht="12.75" x14ac:dyDescent="0.25">
      <c r="A106" s="171">
        <v>5</v>
      </c>
      <c r="B106" s="172"/>
      <c r="C106" s="172"/>
      <c r="D106" s="173" t="s">
        <v>103</v>
      </c>
      <c r="E106" s="125"/>
      <c r="F106" s="174"/>
      <c r="G106" s="175"/>
      <c r="H106" s="142"/>
      <c r="I106" s="240"/>
      <c r="J106" s="126"/>
      <c r="K106" s="176"/>
      <c r="L106" s="176"/>
      <c r="M106" s="127"/>
      <c r="N106" s="129"/>
      <c r="P106" s="111"/>
    </row>
    <row r="107" spans="1:26" s="170" customFormat="1" ht="12.75" outlineLevel="1" x14ac:dyDescent="0.25">
      <c r="A107" s="178" t="s">
        <v>255</v>
      </c>
      <c r="B107" s="179" t="s">
        <v>104</v>
      </c>
      <c r="C107" s="179"/>
      <c r="D107" s="180" t="s">
        <v>105</v>
      </c>
      <c r="E107" s="181" t="s">
        <v>6</v>
      </c>
      <c r="F107" s="182" t="s">
        <v>59</v>
      </c>
      <c r="G107" s="183"/>
      <c r="H107" s="104">
        <f>H108</f>
        <v>6</v>
      </c>
      <c r="I107" s="143"/>
      <c r="J107" s="105"/>
      <c r="K107" s="184">
        <f>J107</f>
        <v>0</v>
      </c>
      <c r="L107" s="184"/>
      <c r="M107" s="112">
        <f>J107*H107</f>
        <v>0</v>
      </c>
      <c r="N107" s="130">
        <f>M107</f>
        <v>0</v>
      </c>
      <c r="P107" s="185" t="s">
        <v>211</v>
      </c>
      <c r="Z107" s="195"/>
    </row>
    <row r="108" spans="1:26" s="170" customFormat="1" outlineLevel="1" x14ac:dyDescent="0.25">
      <c r="A108" s="187" t="s">
        <v>256</v>
      </c>
      <c r="B108" s="188"/>
      <c r="C108" s="189"/>
      <c r="D108" s="207" t="s">
        <v>106</v>
      </c>
      <c r="E108" s="191" t="s">
        <v>128</v>
      </c>
      <c r="F108" s="192" t="s">
        <v>59</v>
      </c>
      <c r="G108" s="193">
        <v>1</v>
      </c>
      <c r="H108" s="103">
        <v>6</v>
      </c>
      <c r="I108" s="236"/>
      <c r="J108" s="113"/>
      <c r="K108" s="194">
        <f t="shared" ref="K108" si="36">I108</f>
        <v>0</v>
      </c>
      <c r="L108" s="194">
        <f t="shared" ref="L108" si="37">I108*H108</f>
        <v>0</v>
      </c>
      <c r="M108" s="114"/>
      <c r="N108" s="131">
        <f t="shared" ref="N108" si="38">L108</f>
        <v>0</v>
      </c>
      <c r="P108" s="111"/>
      <c r="Z108" s="195"/>
    </row>
    <row r="109" spans="1:26" s="170" customFormat="1" ht="12.75" outlineLevel="1" x14ac:dyDescent="0.25">
      <c r="A109" s="178" t="s">
        <v>257</v>
      </c>
      <c r="B109" s="179" t="s">
        <v>107</v>
      </c>
      <c r="C109" s="179"/>
      <c r="D109" s="180" t="s">
        <v>108</v>
      </c>
      <c r="E109" s="181" t="s">
        <v>6</v>
      </c>
      <c r="F109" s="182" t="s">
        <v>59</v>
      </c>
      <c r="G109" s="183"/>
      <c r="H109" s="104">
        <f>H110</f>
        <v>2</v>
      </c>
      <c r="I109" s="143"/>
      <c r="J109" s="105"/>
      <c r="K109" s="184">
        <f>J109</f>
        <v>0</v>
      </c>
      <c r="L109" s="184"/>
      <c r="M109" s="112">
        <f>J109*H109</f>
        <v>0</v>
      </c>
      <c r="N109" s="130">
        <f>M109</f>
        <v>0</v>
      </c>
      <c r="P109" s="185" t="s">
        <v>211</v>
      </c>
      <c r="Z109" s="195"/>
    </row>
    <row r="110" spans="1:26" s="170" customFormat="1" outlineLevel="1" x14ac:dyDescent="0.25">
      <c r="A110" s="187" t="s">
        <v>258</v>
      </c>
      <c r="B110" s="188"/>
      <c r="C110" s="189"/>
      <c r="D110" s="207" t="s">
        <v>109</v>
      </c>
      <c r="E110" s="191" t="s">
        <v>128</v>
      </c>
      <c r="F110" s="192" t="s">
        <v>59</v>
      </c>
      <c r="G110" s="193">
        <v>1</v>
      </c>
      <c r="H110" s="103">
        <v>2</v>
      </c>
      <c r="I110" s="236"/>
      <c r="J110" s="113"/>
      <c r="K110" s="194">
        <f>I110</f>
        <v>0</v>
      </c>
      <c r="L110" s="194">
        <f>I110*H110</f>
        <v>0</v>
      </c>
      <c r="M110" s="114"/>
      <c r="N110" s="131">
        <f>L110</f>
        <v>0</v>
      </c>
      <c r="P110" s="111"/>
      <c r="Z110" s="195"/>
    </row>
    <row r="111" spans="1:26" s="170" customFormat="1" ht="12.75" outlineLevel="1" x14ac:dyDescent="0.25">
      <c r="A111" s="178" t="s">
        <v>259</v>
      </c>
      <c r="B111" s="179" t="s">
        <v>111</v>
      </c>
      <c r="C111" s="179"/>
      <c r="D111" s="180" t="s">
        <v>110</v>
      </c>
      <c r="E111" s="181" t="s">
        <v>6</v>
      </c>
      <c r="F111" s="182" t="s">
        <v>59</v>
      </c>
      <c r="G111" s="183"/>
      <c r="H111" s="104">
        <f>H112</f>
        <v>4</v>
      </c>
      <c r="I111" s="143"/>
      <c r="J111" s="105"/>
      <c r="K111" s="184">
        <f>J111</f>
        <v>0</v>
      </c>
      <c r="L111" s="184"/>
      <c r="M111" s="112">
        <f>J111*H111</f>
        <v>0</v>
      </c>
      <c r="N111" s="130">
        <f>M111</f>
        <v>0</v>
      </c>
      <c r="P111" s="185" t="s">
        <v>211</v>
      </c>
      <c r="Z111" s="195"/>
    </row>
    <row r="112" spans="1:26" s="170" customFormat="1" outlineLevel="1" x14ac:dyDescent="0.25">
      <c r="A112" s="187" t="s">
        <v>260</v>
      </c>
      <c r="B112" s="188"/>
      <c r="C112" s="189"/>
      <c r="D112" s="207" t="s">
        <v>112</v>
      </c>
      <c r="E112" s="191" t="s">
        <v>128</v>
      </c>
      <c r="F112" s="192" t="s">
        <v>59</v>
      </c>
      <c r="G112" s="193">
        <v>1</v>
      </c>
      <c r="H112" s="103">
        <v>4</v>
      </c>
      <c r="I112" s="236"/>
      <c r="J112" s="113"/>
      <c r="K112" s="194">
        <f t="shared" ref="K112" si="39">I112</f>
        <v>0</v>
      </c>
      <c r="L112" s="194">
        <f t="shared" ref="L112" si="40">I112*H112</f>
        <v>0</v>
      </c>
      <c r="M112" s="114"/>
      <c r="N112" s="131">
        <f t="shared" ref="N112" si="41">L112</f>
        <v>0</v>
      </c>
      <c r="P112" s="111"/>
      <c r="Z112" s="195"/>
    </row>
    <row r="113" spans="1:26" s="170" customFormat="1" ht="12.75" outlineLevel="1" x14ac:dyDescent="0.25">
      <c r="A113" s="178" t="s">
        <v>261</v>
      </c>
      <c r="B113" s="179" t="s">
        <v>114</v>
      </c>
      <c r="C113" s="179"/>
      <c r="D113" s="180" t="s">
        <v>113</v>
      </c>
      <c r="E113" s="181" t="s">
        <v>6</v>
      </c>
      <c r="F113" s="182" t="s">
        <v>59</v>
      </c>
      <c r="G113" s="183"/>
      <c r="H113" s="104">
        <f>H114</f>
        <v>4</v>
      </c>
      <c r="I113" s="143"/>
      <c r="J113" s="105"/>
      <c r="K113" s="184">
        <f>J113</f>
        <v>0</v>
      </c>
      <c r="L113" s="184"/>
      <c r="M113" s="112">
        <f>J113*H113</f>
        <v>0</v>
      </c>
      <c r="N113" s="130">
        <f>M113</f>
        <v>0</v>
      </c>
      <c r="P113" s="185" t="s">
        <v>211</v>
      </c>
      <c r="Z113" s="195"/>
    </row>
    <row r="114" spans="1:26" s="170" customFormat="1" ht="51" outlineLevel="1" x14ac:dyDescent="0.25">
      <c r="A114" s="187" t="s">
        <v>262</v>
      </c>
      <c r="B114" s="188"/>
      <c r="C114" s="189" t="s">
        <v>181</v>
      </c>
      <c r="D114" s="206" t="s">
        <v>115</v>
      </c>
      <c r="E114" s="191" t="s">
        <v>128</v>
      </c>
      <c r="F114" s="192" t="s">
        <v>59</v>
      </c>
      <c r="G114" s="193">
        <v>1</v>
      </c>
      <c r="H114" s="103">
        <v>4</v>
      </c>
      <c r="I114" s="236"/>
      <c r="J114" s="113"/>
      <c r="K114" s="194">
        <f>I114</f>
        <v>0</v>
      </c>
      <c r="L114" s="194">
        <f>I114*H114</f>
        <v>0</v>
      </c>
      <c r="M114" s="114"/>
      <c r="N114" s="131">
        <f>L114</f>
        <v>0</v>
      </c>
      <c r="P114" s="111"/>
      <c r="Z114" s="195"/>
    </row>
    <row r="115" spans="1:26" s="170" customFormat="1" ht="12.75" outlineLevel="1" x14ac:dyDescent="0.25">
      <c r="A115" s="178" t="s">
        <v>263</v>
      </c>
      <c r="B115" s="179" t="s">
        <v>117</v>
      </c>
      <c r="C115" s="179"/>
      <c r="D115" s="180" t="s">
        <v>116</v>
      </c>
      <c r="E115" s="181" t="s">
        <v>6</v>
      </c>
      <c r="F115" s="182" t="s">
        <v>59</v>
      </c>
      <c r="G115" s="183"/>
      <c r="H115" s="104">
        <f>H116</f>
        <v>4</v>
      </c>
      <c r="I115" s="143"/>
      <c r="J115" s="105"/>
      <c r="K115" s="184">
        <f>J115</f>
        <v>0</v>
      </c>
      <c r="L115" s="184"/>
      <c r="M115" s="112">
        <f>J115*H115</f>
        <v>0</v>
      </c>
      <c r="N115" s="130">
        <f>M115</f>
        <v>0</v>
      </c>
      <c r="P115" s="185" t="s">
        <v>211</v>
      </c>
      <c r="Z115" s="195"/>
    </row>
    <row r="116" spans="1:26" s="170" customFormat="1" ht="12.75" outlineLevel="1" x14ac:dyDescent="0.25">
      <c r="A116" s="187" t="s">
        <v>264</v>
      </c>
      <c r="B116" s="188"/>
      <c r="C116" s="189"/>
      <c r="D116" s="206" t="s">
        <v>118</v>
      </c>
      <c r="E116" s="191" t="s">
        <v>128</v>
      </c>
      <c r="F116" s="192" t="s">
        <v>59</v>
      </c>
      <c r="G116" s="193">
        <v>1</v>
      </c>
      <c r="H116" s="103">
        <v>4</v>
      </c>
      <c r="I116" s="236"/>
      <c r="J116" s="113"/>
      <c r="K116" s="194">
        <f>I116</f>
        <v>0</v>
      </c>
      <c r="L116" s="194">
        <f>I116*H116</f>
        <v>0</v>
      </c>
      <c r="M116" s="114"/>
      <c r="N116" s="131">
        <f>L116</f>
        <v>0</v>
      </c>
      <c r="P116" s="132"/>
      <c r="Z116" s="195"/>
    </row>
    <row r="117" spans="1:26" s="170" customFormat="1" ht="12.75" outlineLevel="1" x14ac:dyDescent="0.25">
      <c r="A117" s="178" t="s">
        <v>265</v>
      </c>
      <c r="B117" s="179" t="s">
        <v>119</v>
      </c>
      <c r="C117" s="179"/>
      <c r="D117" s="180" t="s">
        <v>120</v>
      </c>
      <c r="E117" s="181" t="s">
        <v>6</v>
      </c>
      <c r="F117" s="182" t="s">
        <v>59</v>
      </c>
      <c r="G117" s="183"/>
      <c r="H117" s="104">
        <f>H118</f>
        <v>4</v>
      </c>
      <c r="I117" s="143"/>
      <c r="J117" s="105"/>
      <c r="K117" s="184">
        <f>J117</f>
        <v>0</v>
      </c>
      <c r="L117" s="184"/>
      <c r="M117" s="112">
        <f>J117*H117</f>
        <v>0</v>
      </c>
      <c r="N117" s="130">
        <f>M117</f>
        <v>0</v>
      </c>
      <c r="P117" s="185" t="s">
        <v>211</v>
      </c>
      <c r="Z117" s="195"/>
    </row>
    <row r="118" spans="1:26" s="170" customFormat="1" ht="12.75" outlineLevel="1" x14ac:dyDescent="0.25">
      <c r="A118" s="187" t="s">
        <v>266</v>
      </c>
      <c r="B118" s="188"/>
      <c r="C118" s="189"/>
      <c r="D118" s="206" t="s">
        <v>121</v>
      </c>
      <c r="E118" s="191" t="s">
        <v>128</v>
      </c>
      <c r="F118" s="192" t="s">
        <v>59</v>
      </c>
      <c r="G118" s="193">
        <v>1</v>
      </c>
      <c r="H118" s="103">
        <v>4</v>
      </c>
      <c r="I118" s="236"/>
      <c r="J118" s="113"/>
      <c r="K118" s="194">
        <f>I118</f>
        <v>0</v>
      </c>
      <c r="L118" s="194">
        <f>I118*H118</f>
        <v>0</v>
      </c>
      <c r="M118" s="114"/>
      <c r="N118" s="131">
        <f>L118</f>
        <v>0</v>
      </c>
      <c r="P118" s="132"/>
      <c r="Z118" s="195"/>
    </row>
    <row r="119" spans="1:26" s="170" customFormat="1" ht="76.5" outlineLevel="1" x14ac:dyDescent="0.25">
      <c r="A119" s="178" t="s">
        <v>267</v>
      </c>
      <c r="B119" s="179" t="s">
        <v>122</v>
      </c>
      <c r="C119" s="179"/>
      <c r="D119" s="180" t="s">
        <v>202</v>
      </c>
      <c r="E119" s="181" t="s">
        <v>6</v>
      </c>
      <c r="F119" s="182" t="s">
        <v>124</v>
      </c>
      <c r="G119" s="183"/>
      <c r="H119" s="104">
        <f>83*3+45</f>
        <v>294</v>
      </c>
      <c r="I119" s="143"/>
      <c r="J119" s="105"/>
      <c r="K119" s="184">
        <f>J119</f>
        <v>0</v>
      </c>
      <c r="L119" s="184"/>
      <c r="M119" s="112">
        <f>J119*H119</f>
        <v>0</v>
      </c>
      <c r="N119" s="130">
        <f>M119</f>
        <v>0</v>
      </c>
      <c r="P119" s="201" t="s">
        <v>201</v>
      </c>
      <c r="Z119" s="195"/>
    </row>
    <row r="120" spans="1:26" s="170" customFormat="1" ht="38.25" outlineLevel="1" x14ac:dyDescent="0.25">
      <c r="A120" s="218" t="s">
        <v>268</v>
      </c>
      <c r="B120" s="202"/>
      <c r="C120" s="203"/>
      <c r="D120" s="219" t="s">
        <v>123</v>
      </c>
      <c r="E120" s="191" t="s">
        <v>128</v>
      </c>
      <c r="F120" s="212" t="s">
        <v>124</v>
      </c>
      <c r="G120" s="193">
        <v>1.03</v>
      </c>
      <c r="H120" s="103">
        <f>ROUND((83*3+45)*G120,0)</f>
        <v>303</v>
      </c>
      <c r="I120" s="236"/>
      <c r="J120" s="133"/>
      <c r="K120" s="194">
        <f>I120</f>
        <v>0</v>
      </c>
      <c r="L120" s="194">
        <f>I120*H120</f>
        <v>0</v>
      </c>
      <c r="M120" s="114"/>
      <c r="N120" s="131">
        <f>L120</f>
        <v>0</v>
      </c>
      <c r="P120" s="132"/>
      <c r="Z120" s="195"/>
    </row>
    <row r="121" spans="1:26" s="170" customFormat="1" ht="76.5" outlineLevel="1" x14ac:dyDescent="0.25">
      <c r="A121" s="178" t="s">
        <v>269</v>
      </c>
      <c r="B121" s="179" t="s">
        <v>122</v>
      </c>
      <c r="C121" s="179"/>
      <c r="D121" s="180" t="s">
        <v>213</v>
      </c>
      <c r="E121" s="181" t="s">
        <v>6</v>
      </c>
      <c r="F121" s="182" t="s">
        <v>124</v>
      </c>
      <c r="G121" s="183"/>
      <c r="H121" s="104">
        <f>26+20+15+19+44+55+36</f>
        <v>215</v>
      </c>
      <c r="I121" s="143"/>
      <c r="J121" s="105"/>
      <c r="K121" s="184">
        <f>J121</f>
        <v>0</v>
      </c>
      <c r="L121" s="184"/>
      <c r="M121" s="112">
        <f>J121*H121</f>
        <v>0</v>
      </c>
      <c r="N121" s="130">
        <f>M121</f>
        <v>0</v>
      </c>
      <c r="P121" s="201" t="s">
        <v>201</v>
      </c>
      <c r="Z121" s="195"/>
    </row>
    <row r="122" spans="1:26" s="170" customFormat="1" ht="38.25" outlineLevel="1" x14ac:dyDescent="0.25">
      <c r="A122" s="218" t="s">
        <v>270</v>
      </c>
      <c r="B122" s="202"/>
      <c r="C122" s="203"/>
      <c r="D122" s="219" t="s">
        <v>123</v>
      </c>
      <c r="E122" s="191" t="s">
        <v>128</v>
      </c>
      <c r="F122" s="212" t="s">
        <v>124</v>
      </c>
      <c r="G122" s="193">
        <v>1.03</v>
      </c>
      <c r="H122" s="103">
        <f>ROUND((26+20+15+19+55+36)*G122,0)</f>
        <v>176</v>
      </c>
      <c r="I122" s="236"/>
      <c r="J122" s="133"/>
      <c r="K122" s="194">
        <f>I122</f>
        <v>0</v>
      </c>
      <c r="L122" s="194">
        <f>I122*H122</f>
        <v>0</v>
      </c>
      <c r="M122" s="114"/>
      <c r="N122" s="131">
        <f>L122</f>
        <v>0</v>
      </c>
      <c r="P122" s="132"/>
      <c r="Z122" s="195"/>
    </row>
    <row r="123" spans="1:26" s="170" customFormat="1" ht="38.25" outlineLevel="1" x14ac:dyDescent="0.25">
      <c r="A123" s="218" t="s">
        <v>271</v>
      </c>
      <c r="B123" s="202"/>
      <c r="C123" s="203"/>
      <c r="D123" s="219" t="s">
        <v>137</v>
      </c>
      <c r="E123" s="191" t="s">
        <v>128</v>
      </c>
      <c r="F123" s="212" t="s">
        <v>124</v>
      </c>
      <c r="G123" s="193">
        <v>1.03</v>
      </c>
      <c r="H123" s="103">
        <f>ROUND(44*G123,0)</f>
        <v>45</v>
      </c>
      <c r="I123" s="236"/>
      <c r="J123" s="133"/>
      <c r="K123" s="194">
        <f t="shared" ref="K123:K124" si="42">I123</f>
        <v>0</v>
      </c>
      <c r="L123" s="194">
        <f t="shared" ref="L123:L124" si="43">I123*H123</f>
        <v>0</v>
      </c>
      <c r="M123" s="114"/>
      <c r="N123" s="131">
        <f t="shared" ref="N123:N124" si="44">L123</f>
        <v>0</v>
      </c>
      <c r="P123" s="132"/>
      <c r="Z123" s="195"/>
    </row>
    <row r="124" spans="1:26" s="170" customFormat="1" ht="12.75" outlineLevel="1" x14ac:dyDescent="0.25">
      <c r="A124" s="218" t="s">
        <v>272</v>
      </c>
      <c r="B124" s="202"/>
      <c r="C124" s="203"/>
      <c r="D124" s="219" t="s">
        <v>125</v>
      </c>
      <c r="E124" s="191" t="s">
        <v>128</v>
      </c>
      <c r="F124" s="212" t="s">
        <v>124</v>
      </c>
      <c r="G124" s="193">
        <v>1.1000000000000001</v>
      </c>
      <c r="H124" s="103">
        <f>ROUND(215*G124,0)</f>
        <v>237</v>
      </c>
      <c r="I124" s="236"/>
      <c r="J124" s="133"/>
      <c r="K124" s="194">
        <f t="shared" si="42"/>
        <v>0</v>
      </c>
      <c r="L124" s="194">
        <f t="shared" si="43"/>
        <v>0</v>
      </c>
      <c r="M124" s="114"/>
      <c r="N124" s="131">
        <f t="shared" si="44"/>
        <v>0</v>
      </c>
      <c r="P124" s="132"/>
      <c r="Z124" s="195"/>
    </row>
    <row r="125" spans="1:26" s="170" customFormat="1" ht="12.75" outlineLevel="1" x14ac:dyDescent="0.25">
      <c r="A125" s="210" t="s">
        <v>293</v>
      </c>
      <c r="B125" s="202"/>
      <c r="C125" s="203"/>
      <c r="D125" s="206" t="s">
        <v>180</v>
      </c>
      <c r="E125" s="191" t="s">
        <v>128</v>
      </c>
      <c r="F125" s="212" t="s">
        <v>59</v>
      </c>
      <c r="G125" s="193">
        <v>1</v>
      </c>
      <c r="H125" s="103">
        <v>3</v>
      </c>
      <c r="I125" s="236"/>
      <c r="J125" s="133"/>
      <c r="K125" s="194">
        <f>I125</f>
        <v>0</v>
      </c>
      <c r="L125" s="194">
        <f>I125*H125</f>
        <v>0</v>
      </c>
      <c r="M125" s="114"/>
      <c r="N125" s="131">
        <f>L125</f>
        <v>0</v>
      </c>
      <c r="P125" s="132"/>
      <c r="Z125" s="195"/>
    </row>
    <row r="126" spans="1:26" s="170" customFormat="1" ht="76.5" outlineLevel="1" x14ac:dyDescent="0.25">
      <c r="A126" s="178" t="s">
        <v>273</v>
      </c>
      <c r="B126" s="179" t="s">
        <v>122</v>
      </c>
      <c r="C126" s="179"/>
      <c r="D126" s="180" t="s">
        <v>206</v>
      </c>
      <c r="E126" s="181" t="s">
        <v>6</v>
      </c>
      <c r="F126" s="182" t="s">
        <v>124</v>
      </c>
      <c r="G126" s="183"/>
      <c r="H126" s="104">
        <f>5+6+4</f>
        <v>15</v>
      </c>
      <c r="I126" s="143"/>
      <c r="J126" s="105"/>
      <c r="K126" s="184">
        <f>J126</f>
        <v>0</v>
      </c>
      <c r="L126" s="184"/>
      <c r="M126" s="112">
        <f>J126*H126</f>
        <v>0</v>
      </c>
      <c r="N126" s="130">
        <f>M126</f>
        <v>0</v>
      </c>
      <c r="P126" s="201" t="s">
        <v>201</v>
      </c>
      <c r="Z126" s="195"/>
    </row>
    <row r="127" spans="1:26" s="170" customFormat="1" ht="38.25" outlineLevel="1" x14ac:dyDescent="0.25">
      <c r="A127" s="218" t="s">
        <v>274</v>
      </c>
      <c r="B127" s="202"/>
      <c r="C127" s="203"/>
      <c r="D127" s="219" t="s">
        <v>123</v>
      </c>
      <c r="E127" s="191" t="s">
        <v>128</v>
      </c>
      <c r="F127" s="212" t="s">
        <v>124</v>
      </c>
      <c r="G127" s="193">
        <v>1.03</v>
      </c>
      <c r="H127" s="103">
        <f>ROUND((4+5+6)*G127,0)</f>
        <v>15</v>
      </c>
      <c r="I127" s="236"/>
      <c r="J127" s="133"/>
      <c r="K127" s="194">
        <f>I127</f>
        <v>0</v>
      </c>
      <c r="L127" s="194">
        <f>I127*H127</f>
        <v>0</v>
      </c>
      <c r="M127" s="114"/>
      <c r="N127" s="131">
        <f>L127</f>
        <v>0</v>
      </c>
      <c r="P127" s="132"/>
      <c r="Z127" s="195"/>
    </row>
    <row r="128" spans="1:26" s="170" customFormat="1" ht="12.75" x14ac:dyDescent="0.25">
      <c r="A128" s="171">
        <v>6</v>
      </c>
      <c r="B128" s="172"/>
      <c r="C128" s="172"/>
      <c r="D128" s="173" t="s">
        <v>190</v>
      </c>
      <c r="E128" s="125"/>
      <c r="F128" s="174"/>
      <c r="G128" s="175"/>
      <c r="H128" s="128"/>
      <c r="I128" s="240"/>
      <c r="J128" s="126"/>
      <c r="K128" s="176"/>
      <c r="L128" s="176"/>
      <c r="M128" s="127"/>
      <c r="N128" s="129"/>
      <c r="P128" s="132"/>
      <c r="Z128" s="195"/>
    </row>
    <row r="129" spans="1:26" s="170" customFormat="1" ht="25.5" outlineLevel="1" x14ac:dyDescent="0.25">
      <c r="A129" s="178" t="s">
        <v>275</v>
      </c>
      <c r="B129" s="179" t="s">
        <v>187</v>
      </c>
      <c r="C129" s="179"/>
      <c r="D129" s="180" t="s">
        <v>189</v>
      </c>
      <c r="E129" s="181" t="s">
        <v>6</v>
      </c>
      <c r="F129" s="182" t="s">
        <v>124</v>
      </c>
      <c r="G129" s="183"/>
      <c r="H129" s="104">
        <f>H130</f>
        <v>48</v>
      </c>
      <c r="I129" s="143"/>
      <c r="J129" s="105"/>
      <c r="K129" s="184">
        <f>J129</f>
        <v>0</v>
      </c>
      <c r="L129" s="184"/>
      <c r="M129" s="112">
        <f>J129*H129</f>
        <v>0</v>
      </c>
      <c r="N129" s="130">
        <f>M129</f>
        <v>0</v>
      </c>
      <c r="P129" s="185" t="s">
        <v>211</v>
      </c>
      <c r="Z129" s="195"/>
    </row>
    <row r="130" spans="1:26" s="170" customFormat="1" ht="25.5" outlineLevel="1" x14ac:dyDescent="0.25">
      <c r="A130" s="218" t="s">
        <v>276</v>
      </c>
      <c r="B130" s="202"/>
      <c r="C130" s="203"/>
      <c r="D130" s="219" t="s">
        <v>188</v>
      </c>
      <c r="E130" s="191" t="s">
        <v>128</v>
      </c>
      <c r="F130" s="212" t="s">
        <v>124</v>
      </c>
      <c r="G130" s="193">
        <v>1</v>
      </c>
      <c r="H130" s="103">
        <v>48</v>
      </c>
      <c r="I130" s="236"/>
      <c r="J130" s="133"/>
      <c r="K130" s="194">
        <f>I130</f>
        <v>0</v>
      </c>
      <c r="L130" s="194">
        <f>I130*H130</f>
        <v>0</v>
      </c>
      <c r="M130" s="114"/>
      <c r="N130" s="131">
        <f>L130</f>
        <v>0</v>
      </c>
      <c r="P130" s="132"/>
      <c r="Z130" s="195"/>
    </row>
    <row r="131" spans="1:26" s="170" customFormat="1" ht="12.75" outlineLevel="1" x14ac:dyDescent="0.25">
      <c r="A131" s="218" t="s">
        <v>277</v>
      </c>
      <c r="B131" s="202"/>
      <c r="C131" s="203"/>
      <c r="D131" s="219" t="s">
        <v>193</v>
      </c>
      <c r="E131" s="191" t="s">
        <v>128</v>
      </c>
      <c r="F131" s="212" t="s">
        <v>59</v>
      </c>
      <c r="G131" s="193">
        <v>1</v>
      </c>
      <c r="H131" s="103">
        <f>ROUNDUP($H$130/2,0)</f>
        <v>24</v>
      </c>
      <c r="I131" s="236"/>
      <c r="J131" s="133"/>
      <c r="K131" s="194">
        <f>I131</f>
        <v>0</v>
      </c>
      <c r="L131" s="194">
        <f>I131*H131</f>
        <v>0</v>
      </c>
      <c r="M131" s="114"/>
      <c r="N131" s="131">
        <f>L131</f>
        <v>0</v>
      </c>
      <c r="P131" s="132"/>
      <c r="Z131" s="195"/>
    </row>
    <row r="132" spans="1:26" s="170" customFormat="1" ht="12.75" outlineLevel="1" x14ac:dyDescent="0.25">
      <c r="A132" s="218" t="s">
        <v>278</v>
      </c>
      <c r="B132" s="202"/>
      <c r="C132" s="203"/>
      <c r="D132" s="219" t="s">
        <v>196</v>
      </c>
      <c r="E132" s="191" t="s">
        <v>128</v>
      </c>
      <c r="F132" s="212" t="s">
        <v>59</v>
      </c>
      <c r="G132" s="193">
        <v>1</v>
      </c>
      <c r="H132" s="103">
        <f t="shared" ref="H132:H134" si="45">ROUNDUP($H$130/2,0)</f>
        <v>24</v>
      </c>
      <c r="I132" s="236"/>
      <c r="J132" s="133"/>
      <c r="K132" s="194">
        <f>I132</f>
        <v>0</v>
      </c>
      <c r="L132" s="194">
        <f>I132*H132</f>
        <v>0</v>
      </c>
      <c r="M132" s="114"/>
      <c r="N132" s="131">
        <f>L132</f>
        <v>0</v>
      </c>
      <c r="P132" s="132"/>
      <c r="Z132" s="195"/>
    </row>
    <row r="133" spans="1:26" s="170" customFormat="1" ht="12.75" outlineLevel="1" x14ac:dyDescent="0.25">
      <c r="A133" s="218" t="s">
        <v>300</v>
      </c>
      <c r="B133" s="202"/>
      <c r="C133" s="203"/>
      <c r="D133" s="219" t="s">
        <v>195</v>
      </c>
      <c r="E133" s="191" t="s">
        <v>128</v>
      </c>
      <c r="F133" s="212" t="s">
        <v>59</v>
      </c>
      <c r="G133" s="193">
        <v>1</v>
      </c>
      <c r="H133" s="103">
        <f t="shared" si="45"/>
        <v>24</v>
      </c>
      <c r="I133" s="236"/>
      <c r="J133" s="133"/>
      <c r="K133" s="194">
        <f>I133</f>
        <v>0</v>
      </c>
      <c r="L133" s="194">
        <f>I133*H133</f>
        <v>0</v>
      </c>
      <c r="M133" s="114"/>
      <c r="N133" s="131">
        <f>L133</f>
        <v>0</v>
      </c>
      <c r="P133" s="132"/>
      <c r="Z133" s="195"/>
    </row>
    <row r="134" spans="1:26" s="170" customFormat="1" ht="12.75" outlineLevel="1" x14ac:dyDescent="0.25">
      <c r="A134" s="218" t="s">
        <v>301</v>
      </c>
      <c r="B134" s="202"/>
      <c r="C134" s="203"/>
      <c r="D134" s="219" t="s">
        <v>194</v>
      </c>
      <c r="E134" s="191" t="s">
        <v>128</v>
      </c>
      <c r="F134" s="212" t="s">
        <v>59</v>
      </c>
      <c r="G134" s="193">
        <v>1</v>
      </c>
      <c r="H134" s="103">
        <f t="shared" si="45"/>
        <v>24</v>
      </c>
      <c r="I134" s="236"/>
      <c r="J134" s="133"/>
      <c r="K134" s="194">
        <f>I134</f>
        <v>0</v>
      </c>
      <c r="L134" s="194">
        <f>I134*H134</f>
        <v>0</v>
      </c>
      <c r="M134" s="114"/>
      <c r="N134" s="131">
        <f>L134</f>
        <v>0</v>
      </c>
      <c r="P134" s="132"/>
      <c r="Z134" s="195"/>
    </row>
    <row r="135" spans="1:26" s="170" customFormat="1" x14ac:dyDescent="0.25">
      <c r="A135" s="220"/>
      <c r="B135" s="221"/>
      <c r="C135" s="115"/>
      <c r="D135" s="273" t="s">
        <v>283</v>
      </c>
      <c r="E135" s="107"/>
      <c r="F135" s="107"/>
      <c r="G135" s="107"/>
      <c r="H135" s="108"/>
      <c r="I135" s="274"/>
      <c r="J135" s="275"/>
      <c r="K135" s="110"/>
      <c r="L135" s="119"/>
      <c r="M135" s="119"/>
      <c r="N135" s="119"/>
      <c r="P135" s="132"/>
      <c r="Z135" s="195"/>
    </row>
    <row r="136" spans="1:26" s="170" customFormat="1" ht="25.5" x14ac:dyDescent="0.25">
      <c r="A136" s="171">
        <v>7</v>
      </c>
      <c r="B136" s="172"/>
      <c r="C136" s="172"/>
      <c r="D136" s="173" t="s">
        <v>227</v>
      </c>
      <c r="E136" s="125"/>
      <c r="F136" s="174"/>
      <c r="G136" s="175"/>
      <c r="H136" s="128"/>
      <c r="I136" s="240"/>
      <c r="J136" s="126"/>
      <c r="K136" s="176"/>
      <c r="L136" s="176"/>
      <c r="M136" s="127"/>
      <c r="N136" s="129"/>
      <c r="P136" s="132"/>
      <c r="Z136" s="195"/>
    </row>
    <row r="137" spans="1:26" s="170" customFormat="1" ht="25.5" outlineLevel="1" x14ac:dyDescent="0.25">
      <c r="A137" s="214" t="s">
        <v>279</v>
      </c>
      <c r="B137" s="215" t="s">
        <v>229</v>
      </c>
      <c r="C137" s="215"/>
      <c r="D137" s="216" t="s">
        <v>227</v>
      </c>
      <c r="E137" s="181" t="s">
        <v>6</v>
      </c>
      <c r="F137" s="217" t="s">
        <v>141</v>
      </c>
      <c r="G137" s="183"/>
      <c r="H137" s="104">
        <v>1</v>
      </c>
      <c r="I137" s="143"/>
      <c r="J137" s="144"/>
      <c r="K137" s="145">
        <f>J137</f>
        <v>0</v>
      </c>
      <c r="L137" s="145"/>
      <c r="M137" s="146">
        <f>J137*H137</f>
        <v>0</v>
      </c>
      <c r="N137" s="147">
        <f>M137</f>
        <v>0</v>
      </c>
      <c r="P137" s="185" t="s">
        <v>211</v>
      </c>
      <c r="Z137" s="195"/>
    </row>
    <row r="138" spans="1:26" s="149" customFormat="1" x14ac:dyDescent="0.2">
      <c r="A138" s="220"/>
      <c r="B138" s="221"/>
      <c r="C138" s="115"/>
      <c r="D138" s="115" t="s">
        <v>27</v>
      </c>
      <c r="E138" s="107"/>
      <c r="F138" s="107"/>
      <c r="G138" s="107"/>
      <c r="H138" s="108"/>
      <c r="I138" s="109"/>
      <c r="J138" s="110"/>
      <c r="K138" s="110"/>
      <c r="L138" s="119">
        <f>SUM(L15:L137)</f>
        <v>0</v>
      </c>
      <c r="M138" s="119">
        <f t="shared" ref="M138" si="46">SUM(M15:M137)</f>
        <v>0</v>
      </c>
      <c r="N138" s="119">
        <f>SUM(N15:N137)</f>
        <v>0</v>
      </c>
      <c r="P138" s="205"/>
    </row>
    <row r="139" spans="1:26" ht="15.75" thickBot="1" x14ac:dyDescent="0.3">
      <c r="A139" s="222"/>
      <c r="B139" s="223"/>
      <c r="C139" s="116"/>
      <c r="D139" s="116" t="s">
        <v>74</v>
      </c>
      <c r="E139" s="116"/>
      <c r="F139" s="116"/>
      <c r="G139" s="139"/>
      <c r="H139" s="124"/>
      <c r="I139" s="141"/>
      <c r="J139" s="116"/>
      <c r="K139" s="116"/>
      <c r="L139" s="118"/>
      <c r="M139" s="118"/>
      <c r="N139" s="117">
        <f>N138/1.22*0.22</f>
        <v>0</v>
      </c>
      <c r="P139" s="205"/>
    </row>
    <row r="140" spans="1:26" s="227" customFormat="1" x14ac:dyDescent="0.25">
      <c r="A140" s="224" t="s">
        <v>75</v>
      </c>
      <c r="B140" s="225"/>
      <c r="C140" s="225"/>
      <c r="D140" s="225"/>
      <c r="E140" s="225"/>
      <c r="F140" s="225"/>
      <c r="G140" s="225"/>
      <c r="H140" s="225"/>
      <c r="I140" s="225"/>
      <c r="J140" s="225"/>
      <c r="K140" s="225"/>
      <c r="L140" s="225"/>
      <c r="M140" s="225"/>
      <c r="N140" s="226"/>
      <c r="P140" s="205"/>
    </row>
    <row r="141" spans="1:26" s="227" customFormat="1" x14ac:dyDescent="0.25">
      <c r="A141" s="241" t="s">
        <v>12</v>
      </c>
      <c r="B141" s="242"/>
      <c r="C141" s="242"/>
      <c r="D141" s="243" t="s">
        <v>76</v>
      </c>
      <c r="E141" s="242"/>
      <c r="F141" s="242"/>
      <c r="G141" s="242"/>
      <c r="H141" s="242"/>
      <c r="I141" s="242"/>
      <c r="J141" s="242"/>
      <c r="K141" s="242"/>
      <c r="L141" s="242"/>
      <c r="M141" s="242"/>
      <c r="N141" s="244"/>
      <c r="P141" s="205"/>
    </row>
    <row r="142" spans="1:26" s="228" customFormat="1" x14ac:dyDescent="0.25">
      <c r="A142" s="241" t="s">
        <v>7</v>
      </c>
      <c r="B142" s="242"/>
      <c r="C142" s="242"/>
      <c r="D142" s="243" t="s">
        <v>77</v>
      </c>
      <c r="E142" s="242"/>
      <c r="F142" s="242"/>
      <c r="G142" s="242"/>
      <c r="H142" s="242"/>
      <c r="I142" s="242"/>
      <c r="J142" s="242"/>
      <c r="K142" s="242"/>
      <c r="L142" s="242"/>
      <c r="M142" s="242"/>
      <c r="N142" s="244"/>
      <c r="P142" s="205"/>
    </row>
    <row r="143" spans="1:26" s="228" customFormat="1" x14ac:dyDescent="0.25">
      <c r="A143" s="241" t="s">
        <v>60</v>
      </c>
      <c r="B143" s="242"/>
      <c r="C143" s="242"/>
      <c r="D143" s="243" t="s">
        <v>78</v>
      </c>
      <c r="E143" s="242"/>
      <c r="F143" s="242"/>
      <c r="G143" s="242"/>
      <c r="H143" s="242"/>
      <c r="I143" s="242"/>
      <c r="J143" s="242"/>
      <c r="K143" s="242"/>
      <c r="L143" s="242"/>
      <c r="M143" s="242"/>
      <c r="N143" s="244"/>
      <c r="P143" s="205"/>
    </row>
    <row r="144" spans="1:26" s="228" customFormat="1" ht="25.5" x14ac:dyDescent="0.25">
      <c r="A144" s="241" t="s">
        <v>61</v>
      </c>
      <c r="B144" s="242"/>
      <c r="C144" s="242"/>
      <c r="D144" s="243" t="s">
        <v>79</v>
      </c>
      <c r="E144" s="242"/>
      <c r="F144" s="242"/>
      <c r="G144" s="242"/>
      <c r="H144" s="242"/>
      <c r="I144" s="242"/>
      <c r="J144" s="242"/>
      <c r="K144" s="242"/>
      <c r="L144" s="242"/>
      <c r="M144" s="242"/>
      <c r="N144" s="244"/>
      <c r="P144" s="205"/>
    </row>
    <row r="145" spans="1:16" s="227" customFormat="1" x14ac:dyDescent="0.25">
      <c r="A145" s="245" t="s">
        <v>62</v>
      </c>
      <c r="B145" s="246"/>
      <c r="C145" s="246"/>
      <c r="D145" s="243" t="s">
        <v>80</v>
      </c>
      <c r="E145" s="247"/>
      <c r="F145" s="247"/>
      <c r="G145" s="247"/>
      <c r="H145" s="247"/>
      <c r="I145" s="248"/>
      <c r="J145" s="248"/>
      <c r="K145" s="248"/>
      <c r="L145" s="248"/>
      <c r="M145" s="248"/>
      <c r="N145" s="249"/>
      <c r="P145" s="205"/>
    </row>
    <row r="146" spans="1:16" s="227" customFormat="1" ht="15.75" x14ac:dyDescent="0.25">
      <c r="A146" s="241" t="s">
        <v>87</v>
      </c>
      <c r="B146" s="120"/>
      <c r="C146" s="120"/>
      <c r="D146" s="243" t="s">
        <v>81</v>
      </c>
      <c r="E146" s="121"/>
      <c r="F146" s="121"/>
      <c r="G146" s="120"/>
      <c r="H146" s="122"/>
      <c r="I146" s="121"/>
      <c r="J146" s="121"/>
      <c r="K146" s="120"/>
      <c r="L146" s="120"/>
      <c r="M146" s="121"/>
      <c r="N146" s="123"/>
      <c r="P146" s="205"/>
    </row>
    <row r="147" spans="1:16" x14ac:dyDescent="0.25">
      <c r="A147" s="250">
        <v>7</v>
      </c>
      <c r="B147" s="251"/>
      <c r="C147" s="251"/>
      <c r="D147" s="243" t="s">
        <v>82</v>
      </c>
      <c r="E147" s="252"/>
      <c r="F147" s="251"/>
      <c r="G147" s="251"/>
      <c r="H147" s="253"/>
      <c r="I147" s="253"/>
      <c r="J147" s="251"/>
      <c r="K147" s="251"/>
      <c r="L147" s="251"/>
      <c r="M147" s="251"/>
      <c r="N147" s="254"/>
      <c r="P147" s="205"/>
    </row>
    <row r="148" spans="1:16" x14ac:dyDescent="0.25">
      <c r="A148" s="250">
        <v>8</v>
      </c>
      <c r="B148" s="251"/>
      <c r="C148" s="251"/>
      <c r="D148" s="243" t="s">
        <v>83</v>
      </c>
      <c r="E148" s="252"/>
      <c r="F148" s="251"/>
      <c r="G148" s="251"/>
      <c r="H148" s="253"/>
      <c r="I148" s="253"/>
      <c r="J148" s="251"/>
      <c r="K148" s="251"/>
      <c r="L148" s="251"/>
      <c r="M148" s="251"/>
      <c r="N148" s="254"/>
      <c r="P148" s="205"/>
    </row>
    <row r="149" spans="1:16" x14ac:dyDescent="0.25">
      <c r="A149" s="250">
        <v>9</v>
      </c>
      <c r="B149" s="251"/>
      <c r="C149" s="251"/>
      <c r="D149" s="243" t="s">
        <v>84</v>
      </c>
      <c r="E149" s="252"/>
      <c r="F149" s="251"/>
      <c r="G149" s="251"/>
      <c r="H149" s="253"/>
      <c r="I149" s="253"/>
      <c r="J149" s="251"/>
      <c r="K149" s="251"/>
      <c r="L149" s="251"/>
      <c r="M149" s="251"/>
      <c r="N149" s="254"/>
      <c r="P149" s="201"/>
    </row>
    <row r="150" spans="1:16" x14ac:dyDescent="0.25">
      <c r="A150" s="250">
        <v>10</v>
      </c>
      <c r="B150" s="251"/>
      <c r="C150" s="251"/>
      <c r="D150" s="255" t="s">
        <v>85</v>
      </c>
      <c r="E150" s="252"/>
      <c r="F150" s="251"/>
      <c r="G150" s="251"/>
      <c r="H150" s="253"/>
      <c r="I150" s="253"/>
      <c r="J150" s="251"/>
      <c r="K150" s="251"/>
      <c r="L150" s="251"/>
      <c r="M150" s="251"/>
      <c r="N150" s="254"/>
      <c r="P150" s="205"/>
    </row>
    <row r="151" spans="1:16" ht="15.75" thickBot="1" x14ac:dyDescent="0.3">
      <c r="A151" s="256">
        <v>11</v>
      </c>
      <c r="B151" s="257"/>
      <c r="C151" s="257"/>
      <c r="D151" s="258" t="s">
        <v>86</v>
      </c>
      <c r="E151" s="259"/>
      <c r="F151" s="257"/>
      <c r="G151" s="257"/>
      <c r="H151" s="260"/>
      <c r="I151" s="260"/>
      <c r="J151" s="257"/>
      <c r="K151" s="257"/>
      <c r="L151" s="257"/>
      <c r="M151" s="257"/>
      <c r="N151" s="261"/>
      <c r="P151" s="205"/>
    </row>
    <row r="152" spans="1:16" x14ac:dyDescent="0.25">
      <c r="P152" s="233"/>
    </row>
    <row r="153" spans="1:16" x14ac:dyDescent="0.25">
      <c r="P153" s="233"/>
    </row>
    <row r="154" spans="1:16" x14ac:dyDescent="0.25">
      <c r="P154" s="233"/>
    </row>
    <row r="155" spans="1:16" x14ac:dyDescent="0.25">
      <c r="P155" s="233"/>
    </row>
    <row r="156" spans="1:16" x14ac:dyDescent="0.25">
      <c r="P156" s="234"/>
    </row>
    <row r="157" spans="1:16" x14ac:dyDescent="0.25">
      <c r="P157" s="233"/>
    </row>
    <row r="158" spans="1:16" x14ac:dyDescent="0.25">
      <c r="P158" s="233"/>
    </row>
    <row r="159" spans="1:16" x14ac:dyDescent="0.25">
      <c r="P159" s="233"/>
    </row>
    <row r="160" spans="1:16" x14ac:dyDescent="0.25">
      <c r="P160" s="233"/>
    </row>
    <row r="161" spans="16:16" x14ac:dyDescent="0.25">
      <c r="P161" s="233"/>
    </row>
    <row r="162" spans="16:16" x14ac:dyDescent="0.25">
      <c r="P162" s="233"/>
    </row>
    <row r="163" spans="16:16" x14ac:dyDescent="0.25">
      <c r="P163" s="233"/>
    </row>
    <row r="164" spans="16:16" x14ac:dyDescent="0.25">
      <c r="P164" s="233"/>
    </row>
    <row r="165" spans="16:16" x14ac:dyDescent="0.25">
      <c r="P165" s="233"/>
    </row>
    <row r="166" spans="16:16" x14ac:dyDescent="0.25">
      <c r="P166" s="233"/>
    </row>
    <row r="167" spans="16:16" x14ac:dyDescent="0.25">
      <c r="P167" s="233"/>
    </row>
    <row r="168" spans="16:16" x14ac:dyDescent="0.25">
      <c r="P168" s="233"/>
    </row>
    <row r="169" spans="16:16" x14ac:dyDescent="0.25">
      <c r="P169" s="233"/>
    </row>
    <row r="170" spans="16:16" x14ac:dyDescent="0.25">
      <c r="P170" s="233"/>
    </row>
    <row r="171" spans="16:16" x14ac:dyDescent="0.25">
      <c r="P171" s="233"/>
    </row>
    <row r="172" spans="16:16" x14ac:dyDescent="0.25">
      <c r="P172" s="233"/>
    </row>
    <row r="173" spans="16:16" x14ac:dyDescent="0.25">
      <c r="P173" s="234"/>
    </row>
    <row r="174" spans="16:16" x14ac:dyDescent="0.25">
      <c r="P174" s="233"/>
    </row>
    <row r="175" spans="16:16" x14ac:dyDescent="0.25">
      <c r="P175" s="233"/>
    </row>
    <row r="176" spans="16:16" x14ac:dyDescent="0.25">
      <c r="P176" s="233"/>
    </row>
    <row r="177" spans="16:16" x14ac:dyDescent="0.25">
      <c r="P177" s="233"/>
    </row>
    <row r="178" spans="16:16" x14ac:dyDescent="0.25">
      <c r="P178" s="233"/>
    </row>
    <row r="179" spans="16:16" x14ac:dyDescent="0.25">
      <c r="P179" s="234"/>
    </row>
    <row r="180" spans="16:16" x14ac:dyDescent="0.25">
      <c r="P180" s="233"/>
    </row>
    <row r="181" spans="16:16" x14ac:dyDescent="0.25">
      <c r="P181" s="233"/>
    </row>
    <row r="182" spans="16:16" x14ac:dyDescent="0.25">
      <c r="P182" s="233"/>
    </row>
    <row r="183" spans="16:16" x14ac:dyDescent="0.25">
      <c r="P183" s="234"/>
    </row>
    <row r="184" spans="16:16" x14ac:dyDescent="0.25">
      <c r="P184" s="233"/>
    </row>
    <row r="185" spans="16:16" x14ac:dyDescent="0.25">
      <c r="P185" s="233"/>
    </row>
    <row r="186" spans="16:16" x14ac:dyDescent="0.25">
      <c r="P186" s="233"/>
    </row>
    <row r="187" spans="16:16" x14ac:dyDescent="0.25">
      <c r="P187" s="233"/>
    </row>
    <row r="188" spans="16:16" x14ac:dyDescent="0.25">
      <c r="P188" s="233"/>
    </row>
    <row r="189" spans="16:16" x14ac:dyDescent="0.25">
      <c r="P189" s="234"/>
    </row>
    <row r="190" spans="16:16" x14ac:dyDescent="0.25">
      <c r="P190" s="233"/>
    </row>
    <row r="191" spans="16:16" x14ac:dyDescent="0.25">
      <c r="P191" s="233"/>
    </row>
    <row r="192" spans="16:16" x14ac:dyDescent="0.25">
      <c r="P192" s="233"/>
    </row>
    <row r="193" spans="16:16" x14ac:dyDescent="0.25">
      <c r="P193" s="233"/>
    </row>
    <row r="194" spans="16:16" x14ac:dyDescent="0.25">
      <c r="P194" s="233"/>
    </row>
    <row r="195" spans="16:16" x14ac:dyDescent="0.25">
      <c r="P195" s="233"/>
    </row>
    <row r="196" spans="16:16" x14ac:dyDescent="0.25">
      <c r="P196" s="233"/>
    </row>
    <row r="197" spans="16:16" x14ac:dyDescent="0.25">
      <c r="P197" s="233"/>
    </row>
    <row r="198" spans="16:16" x14ac:dyDescent="0.25">
      <c r="P198" s="233"/>
    </row>
    <row r="199" spans="16:16" x14ac:dyDescent="0.25">
      <c r="P199" s="233"/>
    </row>
    <row r="200" spans="16:16" x14ac:dyDescent="0.25">
      <c r="P200" s="233"/>
    </row>
    <row r="201" spans="16:16" x14ac:dyDescent="0.25">
      <c r="P201" s="233"/>
    </row>
    <row r="202" spans="16:16" x14ac:dyDescent="0.25">
      <c r="P202" s="233"/>
    </row>
    <row r="203" spans="16:16" x14ac:dyDescent="0.25">
      <c r="P203" s="233"/>
    </row>
    <row r="204" spans="16:16" x14ac:dyDescent="0.25">
      <c r="P204" s="233"/>
    </row>
    <row r="205" spans="16:16" x14ac:dyDescent="0.25">
      <c r="P205" s="233"/>
    </row>
    <row r="206" spans="16:16" x14ac:dyDescent="0.25">
      <c r="P206" s="233"/>
    </row>
    <row r="207" spans="16:16" x14ac:dyDescent="0.25">
      <c r="P207" s="233"/>
    </row>
    <row r="208" spans="16:16" x14ac:dyDescent="0.25">
      <c r="P208" s="233"/>
    </row>
    <row r="209" spans="16:16" x14ac:dyDescent="0.25">
      <c r="P209" s="233"/>
    </row>
    <row r="210" spans="16:16" x14ac:dyDescent="0.25">
      <c r="P210" s="233"/>
    </row>
    <row r="211" spans="16:16" x14ac:dyDescent="0.25">
      <c r="P211" s="233"/>
    </row>
    <row r="212" spans="16:16" x14ac:dyDescent="0.25">
      <c r="P212" s="233"/>
    </row>
    <row r="213" spans="16:16" x14ac:dyDescent="0.25">
      <c r="P213" s="233"/>
    </row>
    <row r="214" spans="16:16" x14ac:dyDescent="0.25">
      <c r="P214" s="233"/>
    </row>
    <row r="215" spans="16:16" x14ac:dyDescent="0.25">
      <c r="P215" s="233"/>
    </row>
    <row r="216" spans="16:16" x14ac:dyDescent="0.25">
      <c r="P216" s="233"/>
    </row>
    <row r="217" spans="16:16" x14ac:dyDescent="0.25">
      <c r="P217" s="233"/>
    </row>
    <row r="218" spans="16:16" x14ac:dyDescent="0.25">
      <c r="P218" s="233"/>
    </row>
    <row r="219" spans="16:16" x14ac:dyDescent="0.25">
      <c r="P219" s="233"/>
    </row>
    <row r="220" spans="16:16" x14ac:dyDescent="0.25">
      <c r="P220" s="233"/>
    </row>
    <row r="221" spans="16:16" x14ac:dyDescent="0.25">
      <c r="P221" s="233"/>
    </row>
    <row r="222" spans="16:16" x14ac:dyDescent="0.25">
      <c r="P222" s="233"/>
    </row>
    <row r="223" spans="16:16" x14ac:dyDescent="0.25">
      <c r="P223" s="233"/>
    </row>
    <row r="224" spans="16:16" x14ac:dyDescent="0.25">
      <c r="P224" s="233"/>
    </row>
    <row r="225" spans="16:16" x14ac:dyDescent="0.25">
      <c r="P225" s="233"/>
    </row>
    <row r="226" spans="16:16" x14ac:dyDescent="0.25">
      <c r="P226" s="233"/>
    </row>
    <row r="227" spans="16:16" x14ac:dyDescent="0.25">
      <c r="P227" s="233"/>
    </row>
    <row r="228" spans="16:16" x14ac:dyDescent="0.25">
      <c r="P228" s="233"/>
    </row>
    <row r="229" spans="16:16" x14ac:dyDescent="0.25">
      <c r="P229" s="233"/>
    </row>
    <row r="230" spans="16:16" x14ac:dyDescent="0.25">
      <c r="P230" s="233"/>
    </row>
    <row r="231" spans="16:16" x14ac:dyDescent="0.25">
      <c r="P231" s="233"/>
    </row>
    <row r="232" spans="16:16" x14ac:dyDescent="0.25">
      <c r="P232" s="233"/>
    </row>
    <row r="233" spans="16:16" x14ac:dyDescent="0.25">
      <c r="P233" s="233"/>
    </row>
    <row r="234" spans="16:16" x14ac:dyDescent="0.25">
      <c r="P234" s="233"/>
    </row>
    <row r="235" spans="16:16" x14ac:dyDescent="0.25">
      <c r="P235" s="233"/>
    </row>
    <row r="236" spans="16:16" x14ac:dyDescent="0.25">
      <c r="P236" s="233"/>
    </row>
    <row r="237" spans="16:16" x14ac:dyDescent="0.25">
      <c r="P237" s="233"/>
    </row>
    <row r="238" spans="16:16" x14ac:dyDescent="0.25">
      <c r="P238" s="233"/>
    </row>
    <row r="239" spans="16:16" x14ac:dyDescent="0.25">
      <c r="P239" s="233"/>
    </row>
    <row r="240" spans="16:16" x14ac:dyDescent="0.25">
      <c r="P240" s="233"/>
    </row>
    <row r="241" spans="16:16" x14ac:dyDescent="0.25">
      <c r="P241" s="233"/>
    </row>
    <row r="242" spans="16:16" x14ac:dyDescent="0.25">
      <c r="P242" s="233"/>
    </row>
    <row r="243" spans="16:16" x14ac:dyDescent="0.25">
      <c r="P243" s="233"/>
    </row>
    <row r="244" spans="16:16" x14ac:dyDescent="0.25">
      <c r="P244" s="233"/>
    </row>
    <row r="245" spans="16:16" x14ac:dyDescent="0.25">
      <c r="P245" s="233"/>
    </row>
    <row r="246" spans="16:16" x14ac:dyDescent="0.25">
      <c r="P246" s="233"/>
    </row>
    <row r="247" spans="16:16" x14ac:dyDescent="0.25">
      <c r="P247" s="233"/>
    </row>
    <row r="248" spans="16:16" x14ac:dyDescent="0.25">
      <c r="P248" s="233"/>
    </row>
    <row r="249" spans="16:16" x14ac:dyDescent="0.25">
      <c r="P249" s="233"/>
    </row>
    <row r="250" spans="16:16" x14ac:dyDescent="0.25">
      <c r="P250" s="233"/>
    </row>
    <row r="251" spans="16:16" x14ac:dyDescent="0.25">
      <c r="P251" s="233"/>
    </row>
    <row r="252" spans="16:16" x14ac:dyDescent="0.25">
      <c r="P252" s="233"/>
    </row>
    <row r="253" spans="16:16" x14ac:dyDescent="0.25">
      <c r="P253" s="233"/>
    </row>
    <row r="254" spans="16:16" x14ac:dyDescent="0.25">
      <c r="P254" s="233"/>
    </row>
    <row r="255" spans="16:16" x14ac:dyDescent="0.25">
      <c r="P255" s="233"/>
    </row>
    <row r="256" spans="16:16" x14ac:dyDescent="0.25">
      <c r="P256" s="233"/>
    </row>
    <row r="257" spans="16:16" x14ac:dyDescent="0.25">
      <c r="P257" s="233"/>
    </row>
    <row r="258" spans="16:16" x14ac:dyDescent="0.25">
      <c r="P258" s="233"/>
    </row>
    <row r="259" spans="16:16" x14ac:dyDescent="0.25">
      <c r="P259" s="233"/>
    </row>
    <row r="260" spans="16:16" x14ac:dyDescent="0.25">
      <c r="P260" s="233"/>
    </row>
    <row r="261" spans="16:16" x14ac:dyDescent="0.25">
      <c r="P261" s="233"/>
    </row>
    <row r="262" spans="16:16" x14ac:dyDescent="0.25">
      <c r="P262" s="233"/>
    </row>
    <row r="263" spans="16:16" x14ac:dyDescent="0.25">
      <c r="P263" s="233"/>
    </row>
    <row r="264" spans="16:16" x14ac:dyDescent="0.25">
      <c r="P264" s="233"/>
    </row>
    <row r="265" spans="16:16" x14ac:dyDescent="0.25">
      <c r="P265" s="233"/>
    </row>
    <row r="266" spans="16:16" x14ac:dyDescent="0.25">
      <c r="P266" s="233"/>
    </row>
    <row r="267" spans="16:16" x14ac:dyDescent="0.25">
      <c r="P267" s="233"/>
    </row>
    <row r="268" spans="16:16" x14ac:dyDescent="0.25">
      <c r="P268" s="233"/>
    </row>
    <row r="269" spans="16:16" x14ac:dyDescent="0.25">
      <c r="P269" s="233"/>
    </row>
    <row r="270" spans="16:16" x14ac:dyDescent="0.25">
      <c r="P270" s="233"/>
    </row>
    <row r="271" spans="16:16" x14ac:dyDescent="0.25">
      <c r="P271" s="233"/>
    </row>
    <row r="272" spans="16:16" x14ac:dyDescent="0.25">
      <c r="P272" s="233"/>
    </row>
    <row r="273" spans="16:16" x14ac:dyDescent="0.25">
      <c r="P273" s="233"/>
    </row>
    <row r="274" spans="16:16" x14ac:dyDescent="0.25">
      <c r="P274" s="233"/>
    </row>
    <row r="275" spans="16:16" x14ac:dyDescent="0.25">
      <c r="P275" s="233"/>
    </row>
    <row r="276" spans="16:16" x14ac:dyDescent="0.25">
      <c r="P276" s="233"/>
    </row>
    <row r="277" spans="16:16" x14ac:dyDescent="0.25">
      <c r="P277" s="233"/>
    </row>
    <row r="278" spans="16:16" x14ac:dyDescent="0.25">
      <c r="P278" s="233"/>
    </row>
    <row r="279" spans="16:16" x14ac:dyDescent="0.25">
      <c r="P279" s="233"/>
    </row>
    <row r="280" spans="16:16" x14ac:dyDescent="0.25">
      <c r="P280" s="233"/>
    </row>
    <row r="281" spans="16:16" x14ac:dyDescent="0.25">
      <c r="P281" s="233"/>
    </row>
    <row r="282" spans="16:16" x14ac:dyDescent="0.25">
      <c r="P282" s="233"/>
    </row>
    <row r="283" spans="16:16" x14ac:dyDescent="0.25">
      <c r="P283" s="233"/>
    </row>
    <row r="284" spans="16:16" x14ac:dyDescent="0.25">
      <c r="P284" s="233"/>
    </row>
    <row r="285" spans="16:16" x14ac:dyDescent="0.25">
      <c r="P285" s="233"/>
    </row>
    <row r="286" spans="16:16" x14ac:dyDescent="0.25">
      <c r="P286" s="233"/>
    </row>
    <row r="287" spans="16:16" x14ac:dyDescent="0.25">
      <c r="P287" s="233"/>
    </row>
    <row r="288" spans="16:16" x14ac:dyDescent="0.25">
      <c r="P288" s="233"/>
    </row>
    <row r="289" spans="16:16" x14ac:dyDescent="0.25">
      <c r="P289" s="233"/>
    </row>
    <row r="290" spans="16:16" x14ac:dyDescent="0.25">
      <c r="P290" s="233"/>
    </row>
    <row r="291" spans="16:16" x14ac:dyDescent="0.25">
      <c r="P291" s="233"/>
    </row>
    <row r="292" spans="16:16" x14ac:dyDescent="0.25">
      <c r="P292" s="233"/>
    </row>
    <row r="293" spans="16:16" x14ac:dyDescent="0.25">
      <c r="P293" s="233"/>
    </row>
    <row r="294" spans="16:16" x14ac:dyDescent="0.25">
      <c r="P294" s="233"/>
    </row>
    <row r="295" spans="16:16" x14ac:dyDescent="0.25">
      <c r="P295" s="233"/>
    </row>
    <row r="296" spans="16:16" x14ac:dyDescent="0.25">
      <c r="P296" s="233"/>
    </row>
    <row r="297" spans="16:16" x14ac:dyDescent="0.25">
      <c r="P297" s="233"/>
    </row>
    <row r="298" spans="16:16" x14ac:dyDescent="0.25">
      <c r="P298" s="233"/>
    </row>
    <row r="299" spans="16:16" x14ac:dyDescent="0.25">
      <c r="P299" s="233"/>
    </row>
    <row r="300" spans="16:16" x14ac:dyDescent="0.25">
      <c r="P300" s="233"/>
    </row>
    <row r="301" spans="16:16" x14ac:dyDescent="0.25">
      <c r="P301" s="233"/>
    </row>
    <row r="302" spans="16:16" x14ac:dyDescent="0.25">
      <c r="P302" s="233"/>
    </row>
    <row r="303" spans="16:16" x14ac:dyDescent="0.25">
      <c r="P303" s="233"/>
    </row>
    <row r="304" spans="16:16" x14ac:dyDescent="0.25">
      <c r="P304" s="233"/>
    </row>
    <row r="305" spans="16:16" x14ac:dyDescent="0.25">
      <c r="P305" s="233"/>
    </row>
    <row r="306" spans="16:16" x14ac:dyDescent="0.25">
      <c r="P306" s="233"/>
    </row>
    <row r="307" spans="16:16" x14ac:dyDescent="0.25">
      <c r="P307" s="233"/>
    </row>
    <row r="308" spans="16:16" x14ac:dyDescent="0.25">
      <c r="P308" s="233"/>
    </row>
    <row r="309" spans="16:16" x14ac:dyDescent="0.25">
      <c r="P309" s="233"/>
    </row>
    <row r="310" spans="16:16" x14ac:dyDescent="0.25">
      <c r="P310" s="233"/>
    </row>
    <row r="311" spans="16:16" x14ac:dyDescent="0.25">
      <c r="P311" s="233"/>
    </row>
    <row r="312" spans="16:16" x14ac:dyDescent="0.25">
      <c r="P312" s="233"/>
    </row>
    <row r="313" spans="16:16" x14ac:dyDescent="0.25">
      <c r="P313" s="233"/>
    </row>
    <row r="314" spans="16:16" x14ac:dyDescent="0.25">
      <c r="P314" s="233"/>
    </row>
    <row r="315" spans="16:16" x14ac:dyDescent="0.25">
      <c r="P315" s="233"/>
    </row>
    <row r="316" spans="16:16" x14ac:dyDescent="0.25">
      <c r="P316" s="233"/>
    </row>
    <row r="317" spans="16:16" x14ac:dyDescent="0.25">
      <c r="P317" s="233"/>
    </row>
    <row r="318" spans="16:16" x14ac:dyDescent="0.25">
      <c r="P318" s="233"/>
    </row>
    <row r="319" spans="16:16" x14ac:dyDescent="0.25">
      <c r="P319" s="233"/>
    </row>
    <row r="320" spans="16:16" x14ac:dyDescent="0.25">
      <c r="P320" s="233"/>
    </row>
    <row r="321" spans="16:16" x14ac:dyDescent="0.25">
      <c r="P321" s="233"/>
    </row>
    <row r="322" spans="16:16" x14ac:dyDescent="0.25">
      <c r="P322" s="233"/>
    </row>
    <row r="323" spans="16:16" x14ac:dyDescent="0.25">
      <c r="P323" s="233"/>
    </row>
    <row r="324" spans="16:16" x14ac:dyDescent="0.25">
      <c r="P324" s="233"/>
    </row>
    <row r="325" spans="16:16" x14ac:dyDescent="0.25">
      <c r="P325" s="233"/>
    </row>
    <row r="326" spans="16:16" x14ac:dyDescent="0.25">
      <c r="P326" s="233"/>
    </row>
    <row r="327" spans="16:16" x14ac:dyDescent="0.25">
      <c r="P327" s="233"/>
    </row>
    <row r="328" spans="16:16" x14ac:dyDescent="0.25">
      <c r="P328" s="233"/>
    </row>
    <row r="329" spans="16:16" x14ac:dyDescent="0.25">
      <c r="P329" s="233"/>
    </row>
    <row r="330" spans="16:16" x14ac:dyDescent="0.25">
      <c r="P330" s="233"/>
    </row>
    <row r="331" spans="16:16" x14ac:dyDescent="0.25">
      <c r="P331" s="233"/>
    </row>
    <row r="332" spans="16:16" x14ac:dyDescent="0.25">
      <c r="P332" s="233"/>
    </row>
    <row r="333" spans="16:16" x14ac:dyDescent="0.25">
      <c r="P333" s="233"/>
    </row>
    <row r="334" spans="16:16" x14ac:dyDescent="0.25">
      <c r="P334" s="233"/>
    </row>
    <row r="335" spans="16:16" x14ac:dyDescent="0.25">
      <c r="P335" s="233"/>
    </row>
    <row r="336" spans="16:16" x14ac:dyDescent="0.25">
      <c r="P336" s="233"/>
    </row>
    <row r="337" spans="16:16" x14ac:dyDescent="0.25">
      <c r="P337" s="233"/>
    </row>
    <row r="338" spans="16:16" x14ac:dyDescent="0.25">
      <c r="P338" s="233"/>
    </row>
    <row r="339" spans="16:16" x14ac:dyDescent="0.25">
      <c r="P339" s="233"/>
    </row>
    <row r="340" spans="16:16" x14ac:dyDescent="0.25">
      <c r="P340" s="233"/>
    </row>
    <row r="341" spans="16:16" x14ac:dyDescent="0.25">
      <c r="P341" s="233"/>
    </row>
    <row r="342" spans="16:16" x14ac:dyDescent="0.25">
      <c r="P342" s="233"/>
    </row>
    <row r="343" spans="16:16" x14ac:dyDescent="0.25">
      <c r="P343" s="233"/>
    </row>
    <row r="344" spans="16:16" x14ac:dyDescent="0.25">
      <c r="P344" s="233"/>
    </row>
    <row r="345" spans="16:16" x14ac:dyDescent="0.25">
      <c r="P345" s="233"/>
    </row>
    <row r="346" spans="16:16" x14ac:dyDescent="0.25">
      <c r="P346" s="233"/>
    </row>
    <row r="347" spans="16:16" x14ac:dyDescent="0.25">
      <c r="P347" s="233"/>
    </row>
    <row r="348" spans="16:16" x14ac:dyDescent="0.25">
      <c r="P348" s="233"/>
    </row>
    <row r="349" spans="16:16" x14ac:dyDescent="0.25">
      <c r="P349" s="233"/>
    </row>
    <row r="350" spans="16:16" x14ac:dyDescent="0.25">
      <c r="P350" s="233"/>
    </row>
    <row r="351" spans="16:16" x14ac:dyDescent="0.25">
      <c r="P351" s="233"/>
    </row>
    <row r="352" spans="16:16" x14ac:dyDescent="0.25">
      <c r="P352" s="233"/>
    </row>
    <row r="353" spans="16:16" x14ac:dyDescent="0.25">
      <c r="P353" s="233"/>
    </row>
    <row r="354" spans="16:16" x14ac:dyDescent="0.25">
      <c r="P354" s="233"/>
    </row>
    <row r="355" spans="16:16" x14ac:dyDescent="0.25">
      <c r="P355" s="233"/>
    </row>
    <row r="356" spans="16:16" x14ac:dyDescent="0.25">
      <c r="P356" s="233"/>
    </row>
    <row r="357" spans="16:16" x14ac:dyDescent="0.25">
      <c r="P357" s="233"/>
    </row>
    <row r="358" spans="16:16" x14ac:dyDescent="0.25">
      <c r="P358" s="233"/>
    </row>
    <row r="359" spans="16:16" x14ac:dyDescent="0.25">
      <c r="P359" s="233"/>
    </row>
    <row r="360" spans="16:16" x14ac:dyDescent="0.25">
      <c r="P360" s="233"/>
    </row>
    <row r="361" spans="16:16" x14ac:dyDescent="0.25">
      <c r="P361" s="233"/>
    </row>
    <row r="362" spans="16:16" x14ac:dyDescent="0.25">
      <c r="P362" s="233"/>
    </row>
    <row r="363" spans="16:16" x14ac:dyDescent="0.25">
      <c r="P363" s="233"/>
    </row>
    <row r="364" spans="16:16" x14ac:dyDescent="0.25">
      <c r="P364" s="233"/>
    </row>
    <row r="365" spans="16:16" x14ac:dyDescent="0.25">
      <c r="P365" s="233"/>
    </row>
    <row r="366" spans="16:16" x14ac:dyDescent="0.25">
      <c r="P366" s="233"/>
    </row>
    <row r="367" spans="16:16" x14ac:dyDescent="0.25">
      <c r="P367" s="233"/>
    </row>
    <row r="368" spans="16:16" x14ac:dyDescent="0.25">
      <c r="P368" s="233"/>
    </row>
    <row r="369" spans="16:16" x14ac:dyDescent="0.25">
      <c r="P369" s="233"/>
    </row>
    <row r="370" spans="16:16" x14ac:dyDescent="0.25">
      <c r="P370" s="233"/>
    </row>
    <row r="371" spans="16:16" x14ac:dyDescent="0.25">
      <c r="P371" s="233"/>
    </row>
    <row r="372" spans="16:16" x14ac:dyDescent="0.25">
      <c r="P372" s="233"/>
    </row>
    <row r="373" spans="16:16" x14ac:dyDescent="0.25">
      <c r="P373" s="233"/>
    </row>
    <row r="374" spans="16:16" x14ac:dyDescent="0.25">
      <c r="P374" s="233"/>
    </row>
    <row r="375" spans="16:16" x14ac:dyDescent="0.25">
      <c r="P375" s="235"/>
    </row>
    <row r="376" spans="16:16" x14ac:dyDescent="0.25">
      <c r="P376" s="235"/>
    </row>
    <row r="377" spans="16:16" x14ac:dyDescent="0.25">
      <c r="P377" s="235"/>
    </row>
    <row r="378" spans="16:16" x14ac:dyDescent="0.25">
      <c r="P378" s="235"/>
    </row>
    <row r="379" spans="16:16" x14ac:dyDescent="0.25">
      <c r="P379" s="235"/>
    </row>
    <row r="380" spans="16:16" x14ac:dyDescent="0.25">
      <c r="P380" s="235"/>
    </row>
    <row r="381" spans="16:16" x14ac:dyDescent="0.25">
      <c r="P381" s="235"/>
    </row>
    <row r="382" spans="16:16" x14ac:dyDescent="0.25">
      <c r="P382" s="235"/>
    </row>
    <row r="383" spans="16:16" x14ac:dyDescent="0.25">
      <c r="P383" s="235"/>
    </row>
    <row r="384" spans="16:16" x14ac:dyDescent="0.25">
      <c r="P384" s="235"/>
    </row>
    <row r="385" spans="16:16" x14ac:dyDescent="0.25">
      <c r="P385" s="235"/>
    </row>
    <row r="386" spans="16:16" x14ac:dyDescent="0.25">
      <c r="P386" s="235"/>
    </row>
    <row r="387" spans="16:16" x14ac:dyDescent="0.25">
      <c r="P387" s="235"/>
    </row>
    <row r="388" spans="16:16" x14ac:dyDescent="0.25">
      <c r="P388" s="235"/>
    </row>
    <row r="389" spans="16:16" x14ac:dyDescent="0.25">
      <c r="P389" s="235"/>
    </row>
    <row r="390" spans="16:16" x14ac:dyDescent="0.25">
      <c r="P390" s="235"/>
    </row>
    <row r="391" spans="16:16" x14ac:dyDescent="0.25">
      <c r="P391" s="235"/>
    </row>
    <row r="392" spans="16:16" x14ac:dyDescent="0.25">
      <c r="P392" s="235"/>
    </row>
    <row r="393" spans="16:16" x14ac:dyDescent="0.25">
      <c r="P393" s="235"/>
    </row>
    <row r="394" spans="16:16" x14ac:dyDescent="0.25">
      <c r="P394" s="235"/>
    </row>
    <row r="395" spans="16:16" x14ac:dyDescent="0.25">
      <c r="P395" s="235"/>
    </row>
    <row r="396" spans="16:16" x14ac:dyDescent="0.25">
      <c r="P396" s="235"/>
    </row>
    <row r="397" spans="16:16" x14ac:dyDescent="0.25">
      <c r="P397" s="235"/>
    </row>
    <row r="398" spans="16:16" x14ac:dyDescent="0.25">
      <c r="P398" s="235"/>
    </row>
    <row r="399" spans="16:16" x14ac:dyDescent="0.25">
      <c r="P399" s="235"/>
    </row>
    <row r="400" spans="16:16" x14ac:dyDescent="0.25">
      <c r="P400" s="235"/>
    </row>
    <row r="401" spans="16:16" x14ac:dyDescent="0.25">
      <c r="P401" s="235"/>
    </row>
    <row r="402" spans="16:16" x14ac:dyDescent="0.25">
      <c r="P402" s="235"/>
    </row>
    <row r="403" spans="16:16" x14ac:dyDescent="0.25">
      <c r="P403" s="235"/>
    </row>
    <row r="404" spans="16:16" x14ac:dyDescent="0.25">
      <c r="P404" s="235"/>
    </row>
    <row r="405" spans="16:16" x14ac:dyDescent="0.25">
      <c r="P405" s="235"/>
    </row>
    <row r="406" spans="16:16" x14ac:dyDescent="0.25">
      <c r="P406" s="235"/>
    </row>
    <row r="407" spans="16:16" x14ac:dyDescent="0.25">
      <c r="P407" s="235"/>
    </row>
    <row r="408" spans="16:16" x14ac:dyDescent="0.25">
      <c r="P408" s="235"/>
    </row>
    <row r="409" spans="16:16" x14ac:dyDescent="0.25">
      <c r="P409" s="235"/>
    </row>
    <row r="410" spans="16:16" x14ac:dyDescent="0.25">
      <c r="P410" s="235"/>
    </row>
    <row r="411" spans="16:16" x14ac:dyDescent="0.25">
      <c r="P411" s="235"/>
    </row>
    <row r="412" spans="16:16" x14ac:dyDescent="0.25">
      <c r="P412" s="235"/>
    </row>
    <row r="413" spans="16:16" x14ac:dyDescent="0.25">
      <c r="P413" s="235"/>
    </row>
    <row r="414" spans="16:16" x14ac:dyDescent="0.25">
      <c r="P414" s="235"/>
    </row>
    <row r="415" spans="16:16" x14ac:dyDescent="0.25">
      <c r="P415" s="235"/>
    </row>
    <row r="416" spans="16:16" x14ac:dyDescent="0.25">
      <c r="P416" s="235"/>
    </row>
    <row r="417" spans="16:16" x14ac:dyDescent="0.25">
      <c r="P417" s="235"/>
    </row>
    <row r="418" spans="16:16" x14ac:dyDescent="0.25">
      <c r="P418" s="235"/>
    </row>
    <row r="419" spans="16:16" x14ac:dyDescent="0.25">
      <c r="P419" s="235"/>
    </row>
    <row r="420" spans="16:16" x14ac:dyDescent="0.25">
      <c r="P420" s="235"/>
    </row>
    <row r="421" spans="16:16" x14ac:dyDescent="0.25">
      <c r="P421" s="235"/>
    </row>
    <row r="422" spans="16:16" x14ac:dyDescent="0.25">
      <c r="P422" s="235"/>
    </row>
    <row r="423" spans="16:16" x14ac:dyDescent="0.25">
      <c r="P423" s="235"/>
    </row>
    <row r="424" spans="16:16" x14ac:dyDescent="0.25">
      <c r="P424" s="235"/>
    </row>
    <row r="425" spans="16:16" x14ac:dyDescent="0.25">
      <c r="P425" s="235"/>
    </row>
    <row r="426" spans="16:16" x14ac:dyDescent="0.25">
      <c r="P426" s="235"/>
    </row>
    <row r="427" spans="16:16" x14ac:dyDescent="0.25">
      <c r="P427" s="235"/>
    </row>
    <row r="428" spans="16:16" x14ac:dyDescent="0.25">
      <c r="P428" s="235"/>
    </row>
    <row r="429" spans="16:16" x14ac:dyDescent="0.25">
      <c r="P429" s="235"/>
    </row>
    <row r="430" spans="16:16" x14ac:dyDescent="0.25">
      <c r="P430" s="235"/>
    </row>
    <row r="431" spans="16:16" x14ac:dyDescent="0.25">
      <c r="P431" s="235"/>
    </row>
    <row r="432" spans="16:16" x14ac:dyDescent="0.25">
      <c r="P432" s="235"/>
    </row>
    <row r="433" spans="16:16" x14ac:dyDescent="0.25">
      <c r="P433" s="235"/>
    </row>
    <row r="434" spans="16:16" x14ac:dyDescent="0.25">
      <c r="P434" s="235"/>
    </row>
    <row r="435" spans="16:16" x14ac:dyDescent="0.25">
      <c r="P435" s="235"/>
    </row>
    <row r="436" spans="16:16" x14ac:dyDescent="0.25">
      <c r="P436" s="235"/>
    </row>
    <row r="437" spans="16:16" x14ac:dyDescent="0.25">
      <c r="P437" s="235"/>
    </row>
    <row r="438" spans="16:16" x14ac:dyDescent="0.25">
      <c r="P438" s="235"/>
    </row>
    <row r="439" spans="16:16" x14ac:dyDescent="0.25">
      <c r="P439" s="235"/>
    </row>
    <row r="440" spans="16:16" x14ac:dyDescent="0.25">
      <c r="P440" s="235"/>
    </row>
    <row r="441" spans="16:16" x14ac:dyDescent="0.25">
      <c r="P441" s="235"/>
    </row>
    <row r="442" spans="16:16" x14ac:dyDescent="0.25">
      <c r="P442" s="235"/>
    </row>
    <row r="443" spans="16:16" x14ac:dyDescent="0.25">
      <c r="P443" s="235"/>
    </row>
    <row r="444" spans="16:16" x14ac:dyDescent="0.25">
      <c r="P444" s="235"/>
    </row>
    <row r="445" spans="16:16" x14ac:dyDescent="0.25">
      <c r="P445" s="235"/>
    </row>
    <row r="446" spans="16:16" x14ac:dyDescent="0.25">
      <c r="P446" s="235"/>
    </row>
    <row r="447" spans="16:16" x14ac:dyDescent="0.25">
      <c r="P447" s="235"/>
    </row>
    <row r="448" spans="16:16" x14ac:dyDescent="0.25">
      <c r="P448" s="235"/>
    </row>
    <row r="449" spans="16:16" x14ac:dyDescent="0.25">
      <c r="P449" s="235"/>
    </row>
    <row r="450" spans="16:16" x14ac:dyDescent="0.25">
      <c r="P450" s="235"/>
    </row>
    <row r="451" spans="16:16" x14ac:dyDescent="0.25">
      <c r="P451" s="235"/>
    </row>
    <row r="452" spans="16:16" x14ac:dyDescent="0.25">
      <c r="P452" s="235"/>
    </row>
    <row r="453" spans="16:16" x14ac:dyDescent="0.25">
      <c r="P453" s="235"/>
    </row>
    <row r="454" spans="16:16" x14ac:dyDescent="0.25">
      <c r="P454" s="235"/>
    </row>
    <row r="455" spans="16:16" x14ac:dyDescent="0.25">
      <c r="P455" s="235"/>
    </row>
    <row r="456" spans="16:16" x14ac:dyDescent="0.25">
      <c r="P456" s="235"/>
    </row>
    <row r="457" spans="16:16" x14ac:dyDescent="0.25">
      <c r="P457" s="235"/>
    </row>
    <row r="458" spans="16:16" x14ac:dyDescent="0.25">
      <c r="P458" s="235"/>
    </row>
    <row r="459" spans="16:16" x14ac:dyDescent="0.25">
      <c r="P459" s="235"/>
    </row>
    <row r="460" spans="16:16" x14ac:dyDescent="0.25">
      <c r="P460" s="235"/>
    </row>
    <row r="461" spans="16:16" x14ac:dyDescent="0.25">
      <c r="P461" s="235"/>
    </row>
    <row r="462" spans="16:16" x14ac:dyDescent="0.25">
      <c r="P462" s="235"/>
    </row>
    <row r="463" spans="16:16" x14ac:dyDescent="0.25">
      <c r="P463" s="235"/>
    </row>
    <row r="464" spans="16:16" x14ac:dyDescent="0.25">
      <c r="P464" s="235"/>
    </row>
    <row r="465" spans="16:16" x14ac:dyDescent="0.25">
      <c r="P465" s="235"/>
    </row>
    <row r="466" spans="16:16" x14ac:dyDescent="0.25">
      <c r="P466" s="235"/>
    </row>
    <row r="467" spans="16:16" x14ac:dyDescent="0.25">
      <c r="P467" s="235"/>
    </row>
    <row r="468" spans="16:16" x14ac:dyDescent="0.25">
      <c r="P468" s="235"/>
    </row>
    <row r="469" spans="16:16" x14ac:dyDescent="0.25">
      <c r="P469" s="235"/>
    </row>
    <row r="470" spans="16:16" x14ac:dyDescent="0.25">
      <c r="P470" s="235"/>
    </row>
    <row r="471" spans="16:16" x14ac:dyDescent="0.25">
      <c r="P471" s="235"/>
    </row>
    <row r="472" spans="16:16" x14ac:dyDescent="0.25">
      <c r="P472" s="235"/>
    </row>
    <row r="473" spans="16:16" x14ac:dyDescent="0.25">
      <c r="P473" s="235"/>
    </row>
    <row r="474" spans="16:16" x14ac:dyDescent="0.25">
      <c r="P474" s="235"/>
    </row>
    <row r="475" spans="16:16" x14ac:dyDescent="0.25">
      <c r="P475" s="235"/>
    </row>
    <row r="476" spans="16:16" x14ac:dyDescent="0.25">
      <c r="P476" s="235"/>
    </row>
    <row r="477" spans="16:16" x14ac:dyDescent="0.25">
      <c r="P477" s="235"/>
    </row>
    <row r="478" spans="16:16" x14ac:dyDescent="0.25">
      <c r="P478" s="235"/>
    </row>
    <row r="479" spans="16:16" x14ac:dyDescent="0.25">
      <c r="P479" s="235"/>
    </row>
    <row r="480" spans="16:16" x14ac:dyDescent="0.25">
      <c r="P480" s="235"/>
    </row>
    <row r="481" spans="16:16" x14ac:dyDescent="0.25">
      <c r="P481" s="235"/>
    </row>
    <row r="482" spans="16:16" x14ac:dyDescent="0.25">
      <c r="P482" s="235"/>
    </row>
    <row r="483" spans="16:16" x14ac:dyDescent="0.25">
      <c r="P483" s="235"/>
    </row>
    <row r="484" spans="16:16" x14ac:dyDescent="0.25">
      <c r="P484" s="235"/>
    </row>
    <row r="485" spans="16:16" x14ac:dyDescent="0.25">
      <c r="P485" s="235"/>
    </row>
    <row r="486" spans="16:16" x14ac:dyDescent="0.25">
      <c r="P486" s="235"/>
    </row>
    <row r="487" spans="16:16" x14ac:dyDescent="0.25">
      <c r="P487" s="235"/>
    </row>
    <row r="488" spans="16:16" x14ac:dyDescent="0.25">
      <c r="P488" s="235"/>
    </row>
    <row r="489" spans="16:16" x14ac:dyDescent="0.25">
      <c r="P489" s="235"/>
    </row>
    <row r="490" spans="16:16" x14ac:dyDescent="0.25">
      <c r="P490" s="235"/>
    </row>
    <row r="491" spans="16:16" x14ac:dyDescent="0.25">
      <c r="P491" s="235"/>
    </row>
    <row r="492" spans="16:16" x14ac:dyDescent="0.25">
      <c r="P492" s="235"/>
    </row>
    <row r="493" spans="16:16" x14ac:dyDescent="0.25">
      <c r="P493" s="235"/>
    </row>
    <row r="494" spans="16:16" x14ac:dyDescent="0.25">
      <c r="P494" s="235"/>
    </row>
    <row r="495" spans="16:16" x14ac:dyDescent="0.25">
      <c r="P495" s="235"/>
    </row>
    <row r="496" spans="16:16" x14ac:dyDescent="0.25">
      <c r="P496" s="235"/>
    </row>
    <row r="497" spans="16:16" x14ac:dyDescent="0.25">
      <c r="P497" s="235"/>
    </row>
    <row r="498" spans="16:16" x14ac:dyDescent="0.25">
      <c r="P498" s="235"/>
    </row>
    <row r="499" spans="16:16" x14ac:dyDescent="0.25">
      <c r="P499" s="235"/>
    </row>
    <row r="500" spans="16:16" x14ac:dyDescent="0.25">
      <c r="P500" s="235"/>
    </row>
    <row r="501" spans="16:16" x14ac:dyDescent="0.25">
      <c r="P501" s="235"/>
    </row>
    <row r="502" spans="16:16" x14ac:dyDescent="0.25">
      <c r="P502" s="235"/>
    </row>
    <row r="503" spans="16:16" x14ac:dyDescent="0.25">
      <c r="P503" s="235"/>
    </row>
    <row r="504" spans="16:16" x14ac:dyDescent="0.25">
      <c r="P504" s="235"/>
    </row>
    <row r="505" spans="16:16" x14ac:dyDescent="0.25">
      <c r="P505" s="235"/>
    </row>
    <row r="506" spans="16:16" x14ac:dyDescent="0.25">
      <c r="P506" s="235"/>
    </row>
    <row r="507" spans="16:16" x14ac:dyDescent="0.25">
      <c r="P507" s="235"/>
    </row>
  </sheetData>
  <sheetProtection autoFilter="0"/>
  <autoFilter ref="A9:N151" xr:uid="{6435D98B-0A03-4B15-95B8-6E69F1B10F6C}">
    <filterColumn colId="8" showButton="0"/>
    <filterColumn colId="9" showButton="0"/>
    <filterColumn colId="10" showButton="0"/>
    <filterColumn colId="11" showButton="0"/>
    <filterColumn colId="12" showButton="0"/>
  </autoFilter>
  <mergeCells count="17">
    <mergeCell ref="A4:N4"/>
    <mergeCell ref="A5:N5"/>
    <mergeCell ref="A6:N6"/>
    <mergeCell ref="A9:A11"/>
    <mergeCell ref="B9:B11"/>
    <mergeCell ref="C9:C11"/>
    <mergeCell ref="D9:D11"/>
    <mergeCell ref="E9:E11"/>
    <mergeCell ref="F9:F11"/>
    <mergeCell ref="G9:G11"/>
    <mergeCell ref="H9:H11"/>
    <mergeCell ref="I9:N9"/>
    <mergeCell ref="P9:P12"/>
    <mergeCell ref="I10:J10"/>
    <mergeCell ref="K10:K11"/>
    <mergeCell ref="L10:M10"/>
    <mergeCell ref="N10:N11"/>
  </mergeCells>
  <phoneticPr fontId="16" type="noConversion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481C8-E34F-4414-BC9D-454A3632046D}">
  <sheetPr>
    <outlinePr summaryBelow="0"/>
  </sheetPr>
  <dimension ref="A1:Z568"/>
  <sheetViews>
    <sheetView view="pageBreakPreview" topLeftCell="C1" zoomScale="85" zoomScaleNormal="85" zoomScaleSheetLayoutView="85" workbookViewId="0">
      <pane ySplit="11" topLeftCell="A12" activePane="bottomLeft" state="frozen"/>
      <selection pane="bottomLeft" activeCell="L15" sqref="L15"/>
    </sheetView>
  </sheetViews>
  <sheetFormatPr defaultColWidth="9.140625" defaultRowHeight="15" outlineLevelRow="1" x14ac:dyDescent="0.25"/>
  <cols>
    <col min="1" max="1" width="8" style="229" customWidth="1"/>
    <col min="2" max="2" width="21.28515625" style="230" customWidth="1"/>
    <col min="3" max="3" width="12.42578125" style="230" customWidth="1"/>
    <col min="4" max="4" width="67.28515625" style="231" customWidth="1"/>
    <col min="5" max="5" width="19.85546875" style="229" customWidth="1"/>
    <col min="6" max="7" width="9.5703125" style="230" customWidth="1"/>
    <col min="8" max="8" width="10" style="232" customWidth="1"/>
    <col min="9" max="9" width="12.85546875" style="232" customWidth="1"/>
    <col min="10" max="12" width="13.7109375" style="230" customWidth="1"/>
    <col min="13" max="13" width="19.42578125" style="230" bestFit="1" customWidth="1"/>
    <col min="14" max="14" width="19.5703125" style="230" customWidth="1"/>
    <col min="15" max="15" width="4.5703125" style="152" customWidth="1"/>
    <col min="16" max="16" width="76.7109375" style="153" customWidth="1"/>
    <col min="17" max="17" width="10" style="152" bestFit="1" customWidth="1"/>
    <col min="18" max="20" width="9.140625" style="152"/>
    <col min="21" max="21" width="3.140625" style="152" customWidth="1"/>
    <col min="22" max="22" width="5.85546875" style="152" customWidth="1"/>
    <col min="23" max="24" width="9.140625" style="152" customWidth="1"/>
    <col min="25" max="25" width="12.85546875" style="152" customWidth="1"/>
    <col min="26" max="26" width="32.5703125" style="152" customWidth="1"/>
    <col min="27" max="27" width="16.5703125" style="152" customWidth="1"/>
    <col min="28" max="16384" width="9.140625" style="152"/>
  </cols>
  <sheetData>
    <row r="1" spans="1:26" ht="15.75" x14ac:dyDescent="0.25">
      <c r="A1" s="148"/>
      <c r="B1" s="148"/>
      <c r="C1" s="148"/>
      <c r="D1" s="149"/>
      <c r="E1" s="149"/>
      <c r="F1" s="149"/>
      <c r="G1" s="149"/>
      <c r="H1" s="149"/>
      <c r="I1" s="150"/>
      <c r="J1" s="150"/>
      <c r="K1" s="150"/>
      <c r="L1" s="150"/>
      <c r="M1" s="150"/>
      <c r="N1" s="151"/>
    </row>
    <row r="2" spans="1:26" ht="15.75" x14ac:dyDescent="0.25">
      <c r="A2" s="148"/>
      <c r="B2" s="148"/>
      <c r="C2" s="148"/>
      <c r="D2" s="149"/>
      <c r="E2" s="149"/>
      <c r="F2" s="149"/>
      <c r="G2" s="149"/>
      <c r="H2" s="149"/>
      <c r="I2" s="150"/>
      <c r="J2" s="150"/>
      <c r="K2" s="150"/>
      <c r="L2" s="150"/>
      <c r="M2" s="150"/>
      <c r="N2" s="154"/>
    </row>
    <row r="3" spans="1:26" ht="15.75" x14ac:dyDescent="0.25">
      <c r="A3" s="148"/>
      <c r="B3" s="148"/>
      <c r="C3" s="148"/>
      <c r="D3" s="149"/>
      <c r="E3" s="149"/>
      <c r="F3" s="149"/>
      <c r="G3" s="149"/>
      <c r="H3" s="149"/>
      <c r="I3" s="150"/>
      <c r="J3" s="150"/>
      <c r="K3" s="150"/>
      <c r="L3" s="150"/>
      <c r="M3" s="150"/>
      <c r="N3" s="154"/>
    </row>
    <row r="4" spans="1:26" s="155" customFormat="1" ht="18.75" x14ac:dyDescent="0.25">
      <c r="A4" s="282" t="s">
        <v>88</v>
      </c>
      <c r="B4" s="282"/>
      <c r="C4" s="282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P4" s="153"/>
    </row>
    <row r="5" spans="1:26" s="155" customFormat="1" ht="15.75" x14ac:dyDescent="0.25">
      <c r="A5" s="283" t="s">
        <v>101</v>
      </c>
      <c r="B5" s="283"/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P5" s="153"/>
    </row>
    <row r="6" spans="1:26" s="155" customFormat="1" ht="15.75" x14ac:dyDescent="0.25">
      <c r="A6" s="283" t="s">
        <v>294</v>
      </c>
      <c r="B6" s="283"/>
      <c r="C6" s="283"/>
      <c r="D6" s="283"/>
      <c r="E6" s="283"/>
      <c r="F6" s="283"/>
      <c r="G6" s="283"/>
      <c r="H6" s="283"/>
      <c r="I6" s="283"/>
      <c r="J6" s="283"/>
      <c r="K6" s="283"/>
      <c r="L6" s="283"/>
      <c r="M6" s="283"/>
      <c r="N6" s="283"/>
      <c r="P6" s="153"/>
    </row>
    <row r="7" spans="1:26" s="155" customFormat="1" ht="15.75" x14ac:dyDescent="0.25">
      <c r="A7" s="156"/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P7" s="157"/>
    </row>
    <row r="8" spans="1:26" s="155" customFormat="1" ht="15.75" thickBot="1" x14ac:dyDescent="0.25">
      <c r="A8" s="158"/>
      <c r="B8" s="159"/>
      <c r="C8" s="159"/>
      <c r="D8" s="149"/>
      <c r="E8" s="159"/>
      <c r="F8" s="160"/>
      <c r="G8" s="160"/>
      <c r="H8" s="159"/>
      <c r="I8" s="159"/>
      <c r="J8" s="102"/>
      <c r="K8" s="102"/>
      <c r="L8" s="102"/>
      <c r="M8" s="149"/>
      <c r="N8" s="161"/>
      <c r="P8" s="157"/>
    </row>
    <row r="9" spans="1:26" s="155" customFormat="1" x14ac:dyDescent="0.25">
      <c r="A9" s="284" t="s">
        <v>18</v>
      </c>
      <c r="B9" s="287" t="s">
        <v>1</v>
      </c>
      <c r="C9" s="287" t="s">
        <v>69</v>
      </c>
      <c r="D9" s="290" t="s">
        <v>17</v>
      </c>
      <c r="E9" s="290" t="s">
        <v>2</v>
      </c>
      <c r="F9" s="290" t="s">
        <v>19</v>
      </c>
      <c r="G9" s="293" t="s">
        <v>20</v>
      </c>
      <c r="H9" s="296" t="s">
        <v>10</v>
      </c>
      <c r="I9" s="299" t="s">
        <v>68</v>
      </c>
      <c r="J9" s="299"/>
      <c r="K9" s="299"/>
      <c r="L9" s="299"/>
      <c r="M9" s="299"/>
      <c r="N9" s="300"/>
      <c r="P9" s="279" t="s">
        <v>177</v>
      </c>
    </row>
    <row r="10" spans="1:26" s="155" customFormat="1" x14ac:dyDescent="0.2">
      <c r="A10" s="285"/>
      <c r="B10" s="288"/>
      <c r="C10" s="288"/>
      <c r="D10" s="291"/>
      <c r="E10" s="291"/>
      <c r="F10" s="291"/>
      <c r="G10" s="294"/>
      <c r="H10" s="297"/>
      <c r="I10" s="301" t="s">
        <v>64</v>
      </c>
      <c r="J10" s="302"/>
      <c r="K10" s="303" t="s">
        <v>65</v>
      </c>
      <c r="L10" s="305" t="s">
        <v>66</v>
      </c>
      <c r="M10" s="302"/>
      <c r="N10" s="277" t="s">
        <v>67</v>
      </c>
      <c r="O10" s="149"/>
      <c r="P10" s="280"/>
    </row>
    <row r="11" spans="1:26" s="155" customFormat="1" ht="26.25" thickBot="1" x14ac:dyDescent="0.3">
      <c r="A11" s="286"/>
      <c r="B11" s="289"/>
      <c r="C11" s="289"/>
      <c r="D11" s="292"/>
      <c r="E11" s="292"/>
      <c r="F11" s="292"/>
      <c r="G11" s="295"/>
      <c r="H11" s="298"/>
      <c r="I11" s="162" t="s">
        <v>3</v>
      </c>
      <c r="J11" s="162" t="s">
        <v>63</v>
      </c>
      <c r="K11" s="304"/>
      <c r="L11" s="269" t="s">
        <v>3</v>
      </c>
      <c r="M11" s="164" t="s">
        <v>63</v>
      </c>
      <c r="N11" s="278"/>
      <c r="P11" s="280"/>
    </row>
    <row r="12" spans="1:26" s="170" customFormat="1" ht="12.75" x14ac:dyDescent="0.25">
      <c r="A12" s="165">
        <v>1</v>
      </c>
      <c r="B12" s="166">
        <v>2</v>
      </c>
      <c r="C12" s="166">
        <v>3</v>
      </c>
      <c r="D12" s="166">
        <v>4</v>
      </c>
      <c r="E12" s="166">
        <v>5</v>
      </c>
      <c r="F12" s="166">
        <v>6</v>
      </c>
      <c r="G12" s="167">
        <v>7</v>
      </c>
      <c r="H12" s="168">
        <v>8</v>
      </c>
      <c r="I12" s="166">
        <v>9</v>
      </c>
      <c r="J12" s="166">
        <v>10</v>
      </c>
      <c r="K12" s="166">
        <v>11</v>
      </c>
      <c r="L12" s="166">
        <v>12</v>
      </c>
      <c r="M12" s="166">
        <v>13</v>
      </c>
      <c r="N12" s="169">
        <v>14</v>
      </c>
      <c r="P12" s="281"/>
    </row>
    <row r="13" spans="1:26" s="170" customFormat="1" x14ac:dyDescent="0.25">
      <c r="A13" s="220"/>
      <c r="B13" s="221"/>
      <c r="C13" s="115"/>
      <c r="D13" s="273" t="s">
        <v>295</v>
      </c>
      <c r="E13" s="107"/>
      <c r="F13" s="107"/>
      <c r="G13" s="107"/>
      <c r="H13" s="108"/>
      <c r="I13" s="109"/>
      <c r="J13" s="110"/>
      <c r="K13" s="110"/>
      <c r="L13" s="119"/>
      <c r="M13" s="119"/>
      <c r="N13" s="119"/>
      <c r="P13" s="272"/>
    </row>
    <row r="14" spans="1:26" s="170" customFormat="1" ht="12.75" x14ac:dyDescent="0.25">
      <c r="A14" s="171">
        <v>1</v>
      </c>
      <c r="B14" s="172"/>
      <c r="C14" s="172"/>
      <c r="D14" s="173" t="s">
        <v>102</v>
      </c>
      <c r="E14" s="125"/>
      <c r="F14" s="174"/>
      <c r="G14" s="175"/>
      <c r="H14" s="128"/>
      <c r="I14" s="240"/>
      <c r="J14" s="126"/>
      <c r="K14" s="176"/>
      <c r="L14" s="176"/>
      <c r="M14" s="127"/>
      <c r="N14" s="129"/>
      <c r="P14" s="111"/>
    </row>
    <row r="15" spans="1:26" s="170" customFormat="1" ht="25.5" outlineLevel="1" x14ac:dyDescent="0.25">
      <c r="A15" s="178" t="s">
        <v>13</v>
      </c>
      <c r="B15" s="179" t="s">
        <v>129</v>
      </c>
      <c r="C15" s="179"/>
      <c r="D15" s="180" t="s">
        <v>126</v>
      </c>
      <c r="E15" s="181" t="s">
        <v>6</v>
      </c>
      <c r="F15" s="182" t="s">
        <v>127</v>
      </c>
      <c r="G15" s="183"/>
      <c r="H15" s="104">
        <v>2</v>
      </c>
      <c r="I15" s="143"/>
      <c r="J15" s="105"/>
      <c r="K15" s="184">
        <f>J15</f>
        <v>0</v>
      </c>
      <c r="L15" s="184"/>
      <c r="M15" s="112">
        <f>J15*H15</f>
        <v>0</v>
      </c>
      <c r="N15" s="130">
        <f>M15</f>
        <v>0</v>
      </c>
      <c r="P15" s="185" t="s">
        <v>211</v>
      </c>
      <c r="U15" s="186"/>
    </row>
    <row r="16" spans="1:26" s="170" customFormat="1" outlineLevel="1" x14ac:dyDescent="0.25">
      <c r="A16" s="187" t="s">
        <v>89</v>
      </c>
      <c r="B16" s="188"/>
      <c r="C16" s="189"/>
      <c r="D16" s="190" t="s">
        <v>109</v>
      </c>
      <c r="E16" s="191" t="s">
        <v>128</v>
      </c>
      <c r="F16" s="192" t="s">
        <v>59</v>
      </c>
      <c r="G16" s="193">
        <v>1</v>
      </c>
      <c r="H16" s="103">
        <v>2</v>
      </c>
      <c r="I16" s="236"/>
      <c r="J16" s="106"/>
      <c r="K16" s="194">
        <f>I16</f>
        <v>0</v>
      </c>
      <c r="L16" s="194">
        <f>I16*H16</f>
        <v>0</v>
      </c>
      <c r="M16" s="114"/>
      <c r="N16" s="131">
        <f>L16</f>
        <v>0</v>
      </c>
      <c r="P16" s="111"/>
      <c r="Z16" s="195"/>
    </row>
    <row r="17" spans="1:26" s="170" customFormat="1" outlineLevel="1" x14ac:dyDescent="0.25">
      <c r="A17" s="187" t="s">
        <v>90</v>
      </c>
      <c r="B17" s="188"/>
      <c r="C17" s="189"/>
      <c r="D17" s="190" t="s">
        <v>112</v>
      </c>
      <c r="E17" s="191" t="s">
        <v>128</v>
      </c>
      <c r="F17" s="192" t="s">
        <v>59</v>
      </c>
      <c r="G17" s="193">
        <v>1</v>
      </c>
      <c r="H17" s="103">
        <v>2</v>
      </c>
      <c r="I17" s="236"/>
      <c r="J17" s="113"/>
      <c r="K17" s="194">
        <f>I17</f>
        <v>0</v>
      </c>
      <c r="L17" s="194">
        <f>I17*H17</f>
        <v>0</v>
      </c>
      <c r="M17" s="114"/>
      <c r="N17" s="131">
        <f>L17</f>
        <v>0</v>
      </c>
      <c r="P17" s="111"/>
      <c r="Z17" s="195"/>
    </row>
    <row r="18" spans="1:26" s="170" customFormat="1" ht="12.75" outlineLevel="1" x14ac:dyDescent="0.25">
      <c r="A18" s="178" t="s">
        <v>14</v>
      </c>
      <c r="B18" s="179"/>
      <c r="C18" s="179"/>
      <c r="D18" s="180" t="s">
        <v>153</v>
      </c>
      <c r="E18" s="181" t="s">
        <v>6</v>
      </c>
      <c r="F18" s="182" t="s">
        <v>59</v>
      </c>
      <c r="G18" s="183">
        <v>1</v>
      </c>
      <c r="H18" s="104">
        <f>H20</f>
        <v>2</v>
      </c>
      <c r="I18" s="143"/>
      <c r="J18" s="237"/>
      <c r="K18" s="184">
        <f>J18</f>
        <v>0</v>
      </c>
      <c r="L18" s="184"/>
      <c r="M18" s="112">
        <f>J18*H18</f>
        <v>0</v>
      </c>
      <c r="N18" s="130">
        <f>M18</f>
        <v>0</v>
      </c>
      <c r="P18" s="185" t="s">
        <v>211</v>
      </c>
      <c r="Z18" s="195"/>
    </row>
    <row r="19" spans="1:26" s="170" customFormat="1" ht="15" customHeight="1" outlineLevel="1" x14ac:dyDescent="0.25">
      <c r="A19" s="196" t="s">
        <v>91</v>
      </c>
      <c r="B19" s="197"/>
      <c r="C19" s="197"/>
      <c r="D19" s="198" t="s">
        <v>149</v>
      </c>
      <c r="E19" s="191" t="s">
        <v>128</v>
      </c>
      <c r="F19" s="199" t="s">
        <v>59</v>
      </c>
      <c r="G19" s="200">
        <v>1</v>
      </c>
      <c r="H19" s="138">
        <v>2</v>
      </c>
      <c r="I19" s="238"/>
      <c r="J19" s="239"/>
      <c r="K19" s="194">
        <f t="shared" ref="K19:K22" si="0">I19</f>
        <v>0</v>
      </c>
      <c r="L19" s="194">
        <f t="shared" ref="L19:L26" si="1">I19*H19</f>
        <v>0</v>
      </c>
      <c r="M19" s="114"/>
      <c r="N19" s="131">
        <f t="shared" ref="N19:N26" si="2">L19</f>
        <v>0</v>
      </c>
      <c r="P19" s="137"/>
      <c r="Z19" s="195"/>
    </row>
    <row r="20" spans="1:26" s="170" customFormat="1" outlineLevel="1" x14ac:dyDescent="0.25">
      <c r="A20" s="187" t="s">
        <v>96</v>
      </c>
      <c r="B20" s="188"/>
      <c r="C20" s="189"/>
      <c r="D20" s="198" t="s">
        <v>130</v>
      </c>
      <c r="E20" s="191" t="s">
        <v>128</v>
      </c>
      <c r="F20" s="192" t="s">
        <v>59</v>
      </c>
      <c r="G20" s="193">
        <v>1</v>
      </c>
      <c r="H20" s="103">
        <v>2</v>
      </c>
      <c r="I20" s="236"/>
      <c r="J20" s="113"/>
      <c r="K20" s="194">
        <f t="shared" si="0"/>
        <v>0</v>
      </c>
      <c r="L20" s="194">
        <f t="shared" si="1"/>
        <v>0</v>
      </c>
      <c r="M20" s="114"/>
      <c r="N20" s="131">
        <f t="shared" si="2"/>
        <v>0</v>
      </c>
      <c r="P20" s="111"/>
      <c r="Z20" s="195"/>
    </row>
    <row r="21" spans="1:26" s="170" customFormat="1" outlineLevel="1" x14ac:dyDescent="0.25">
      <c r="A21" s="196" t="s">
        <v>97</v>
      </c>
      <c r="B21" s="202"/>
      <c r="C21" s="203"/>
      <c r="D21" s="198" t="s">
        <v>151</v>
      </c>
      <c r="E21" s="191" t="s">
        <v>128</v>
      </c>
      <c r="F21" s="192" t="s">
        <v>59</v>
      </c>
      <c r="G21" s="193">
        <v>1</v>
      </c>
      <c r="H21" s="103">
        <v>2</v>
      </c>
      <c r="I21" s="236"/>
      <c r="J21" s="133"/>
      <c r="K21" s="194">
        <f t="shared" si="0"/>
        <v>0</v>
      </c>
      <c r="L21" s="204">
        <f t="shared" si="1"/>
        <v>0</v>
      </c>
      <c r="M21" s="134"/>
      <c r="N21" s="136">
        <f t="shared" si="2"/>
        <v>0</v>
      </c>
      <c r="P21" s="132"/>
      <c r="Z21" s="195"/>
    </row>
    <row r="22" spans="1:26" s="170" customFormat="1" ht="30" outlineLevel="1" x14ac:dyDescent="0.25">
      <c r="A22" s="187" t="s">
        <v>98</v>
      </c>
      <c r="B22" s="202"/>
      <c r="C22" s="203"/>
      <c r="D22" s="198" t="s">
        <v>150</v>
      </c>
      <c r="E22" s="191" t="s">
        <v>128</v>
      </c>
      <c r="F22" s="192" t="s">
        <v>59</v>
      </c>
      <c r="G22" s="193">
        <v>1</v>
      </c>
      <c r="H22" s="103">
        <v>2</v>
      </c>
      <c r="I22" s="236"/>
      <c r="J22" s="133"/>
      <c r="K22" s="194">
        <f t="shared" si="0"/>
        <v>0</v>
      </c>
      <c r="L22" s="204">
        <f t="shared" si="1"/>
        <v>0</v>
      </c>
      <c r="M22" s="134"/>
      <c r="N22" s="136">
        <f t="shared" si="2"/>
        <v>0</v>
      </c>
      <c r="P22" s="132"/>
      <c r="Z22" s="195"/>
    </row>
    <row r="23" spans="1:26" s="170" customFormat="1" ht="12.75" outlineLevel="1" x14ac:dyDescent="0.25">
      <c r="A23" s="178" t="s">
        <v>15</v>
      </c>
      <c r="B23" s="179" t="s">
        <v>117</v>
      </c>
      <c r="C23" s="179"/>
      <c r="D23" s="180" t="s">
        <v>116</v>
      </c>
      <c r="E23" s="181" t="s">
        <v>6</v>
      </c>
      <c r="F23" s="182" t="s">
        <v>59</v>
      </c>
      <c r="G23" s="183"/>
      <c r="H23" s="104">
        <f>H24</f>
        <v>2</v>
      </c>
      <c r="I23" s="143"/>
      <c r="J23" s="105"/>
      <c r="K23" s="184">
        <f>J23</f>
        <v>0</v>
      </c>
      <c r="L23" s="184"/>
      <c r="M23" s="112">
        <f>J23*H23</f>
        <v>0</v>
      </c>
      <c r="N23" s="130">
        <f>M23</f>
        <v>0</v>
      </c>
      <c r="P23" s="185" t="s">
        <v>211</v>
      </c>
      <c r="Z23" s="195"/>
    </row>
    <row r="24" spans="1:26" s="170" customFormat="1" ht="12.75" outlineLevel="1" x14ac:dyDescent="0.25">
      <c r="A24" s="187" t="s">
        <v>156</v>
      </c>
      <c r="B24" s="188"/>
      <c r="C24" s="189"/>
      <c r="D24" s="206" t="s">
        <v>118</v>
      </c>
      <c r="E24" s="191" t="s">
        <v>128</v>
      </c>
      <c r="F24" s="192" t="s">
        <v>59</v>
      </c>
      <c r="G24" s="193">
        <v>1</v>
      </c>
      <c r="H24" s="103">
        <v>2</v>
      </c>
      <c r="I24" s="236"/>
      <c r="J24" s="113"/>
      <c r="K24" s="194">
        <f>I24</f>
        <v>0</v>
      </c>
      <c r="L24" s="194">
        <f>I24*H24</f>
        <v>0</v>
      </c>
      <c r="M24" s="114"/>
      <c r="N24" s="131">
        <f>L24</f>
        <v>0</v>
      </c>
      <c r="P24" s="132"/>
      <c r="Z24" s="195"/>
    </row>
    <row r="25" spans="1:26" s="170" customFormat="1" ht="12.75" outlineLevel="1" x14ac:dyDescent="0.25">
      <c r="A25" s="178" t="s">
        <v>16</v>
      </c>
      <c r="B25" s="179" t="s">
        <v>132</v>
      </c>
      <c r="C25" s="179"/>
      <c r="D25" s="180" t="s">
        <v>131</v>
      </c>
      <c r="E25" s="181" t="s">
        <v>6</v>
      </c>
      <c r="F25" s="182" t="s">
        <v>59</v>
      </c>
      <c r="G25" s="183">
        <v>1</v>
      </c>
      <c r="H25" s="104">
        <f>H26</f>
        <v>2</v>
      </c>
      <c r="I25" s="143"/>
      <c r="J25" s="237"/>
      <c r="K25" s="184">
        <f>J25</f>
        <v>0</v>
      </c>
      <c r="L25" s="184"/>
      <c r="M25" s="112">
        <f>J25*H25</f>
        <v>0</v>
      </c>
      <c r="N25" s="130">
        <f>M25</f>
        <v>0</v>
      </c>
      <c r="P25" s="185" t="s">
        <v>211</v>
      </c>
      <c r="Z25" s="195"/>
    </row>
    <row r="26" spans="1:26" s="170" customFormat="1" ht="30" outlineLevel="1" x14ac:dyDescent="0.25">
      <c r="A26" s="187" t="s">
        <v>157</v>
      </c>
      <c r="B26" s="188"/>
      <c r="C26" s="189" t="s">
        <v>154</v>
      </c>
      <c r="D26" s="207" t="s">
        <v>222</v>
      </c>
      <c r="E26" s="191" t="s">
        <v>128</v>
      </c>
      <c r="F26" s="192" t="s">
        <v>141</v>
      </c>
      <c r="G26" s="193">
        <v>1</v>
      </c>
      <c r="H26" s="103">
        <v>2</v>
      </c>
      <c r="I26" s="236"/>
      <c r="J26" s="113"/>
      <c r="K26" s="194">
        <f>I26</f>
        <v>0</v>
      </c>
      <c r="L26" s="194">
        <f t="shared" si="1"/>
        <v>0</v>
      </c>
      <c r="M26" s="114"/>
      <c r="N26" s="131">
        <f t="shared" si="2"/>
        <v>0</v>
      </c>
      <c r="P26" s="111"/>
      <c r="Z26" s="195"/>
    </row>
    <row r="27" spans="1:26" s="170" customFormat="1" outlineLevel="1" x14ac:dyDescent="0.25">
      <c r="A27" s="187" t="s">
        <v>158</v>
      </c>
      <c r="B27" s="188"/>
      <c r="C27" s="189"/>
      <c r="D27" s="198" t="s">
        <v>133</v>
      </c>
      <c r="E27" s="191" t="s">
        <v>128</v>
      </c>
      <c r="F27" s="192" t="s">
        <v>59</v>
      </c>
      <c r="G27" s="193">
        <v>1</v>
      </c>
      <c r="H27" s="103">
        <f>1*2</f>
        <v>2</v>
      </c>
      <c r="I27" s="135"/>
      <c r="J27" s="194"/>
      <c r="K27" s="194"/>
      <c r="L27" s="194"/>
      <c r="M27" s="114"/>
      <c r="N27" s="131"/>
      <c r="P27" s="111"/>
      <c r="Z27" s="195"/>
    </row>
    <row r="28" spans="1:26" s="170" customFormat="1" outlineLevel="1" x14ac:dyDescent="0.25">
      <c r="A28" s="187" t="s">
        <v>159</v>
      </c>
      <c r="B28" s="202"/>
      <c r="C28" s="203"/>
      <c r="D28" s="208" t="s">
        <v>142</v>
      </c>
      <c r="E28" s="191" t="s">
        <v>128</v>
      </c>
      <c r="F28" s="192" t="s">
        <v>59</v>
      </c>
      <c r="G28" s="193">
        <v>1</v>
      </c>
      <c r="H28" s="103">
        <f>2*2</f>
        <v>4</v>
      </c>
      <c r="I28" s="135"/>
      <c r="J28" s="204"/>
      <c r="K28" s="194"/>
      <c r="L28" s="194"/>
      <c r="M28" s="114"/>
      <c r="N28" s="131"/>
      <c r="P28" s="132"/>
      <c r="Z28" s="195"/>
    </row>
    <row r="29" spans="1:26" s="170" customFormat="1" outlineLevel="1" x14ac:dyDescent="0.25">
      <c r="A29" s="187" t="s">
        <v>160</v>
      </c>
      <c r="B29" s="202"/>
      <c r="C29" s="203"/>
      <c r="D29" s="208" t="s">
        <v>143</v>
      </c>
      <c r="E29" s="191" t="s">
        <v>128</v>
      </c>
      <c r="F29" s="192" t="s">
        <v>59</v>
      </c>
      <c r="G29" s="193">
        <v>1</v>
      </c>
      <c r="H29" s="103">
        <f>1*2</f>
        <v>2</v>
      </c>
      <c r="I29" s="135"/>
      <c r="J29" s="204"/>
      <c r="K29" s="194"/>
      <c r="L29" s="194"/>
      <c r="M29" s="114"/>
      <c r="N29" s="131"/>
      <c r="P29" s="132"/>
      <c r="Z29" s="195"/>
    </row>
    <row r="30" spans="1:26" s="170" customFormat="1" ht="15.75" customHeight="1" outlineLevel="1" x14ac:dyDescent="0.25">
      <c r="A30" s="187" t="s">
        <v>161</v>
      </c>
      <c r="B30" s="202"/>
      <c r="C30" s="203"/>
      <c r="D30" s="209" t="s">
        <v>144</v>
      </c>
      <c r="E30" s="191" t="s">
        <v>128</v>
      </c>
      <c r="F30" s="192" t="s">
        <v>59</v>
      </c>
      <c r="G30" s="193">
        <v>1</v>
      </c>
      <c r="H30" s="103">
        <f>1*2</f>
        <v>2</v>
      </c>
      <c r="I30" s="135"/>
      <c r="J30" s="204"/>
      <c r="K30" s="194"/>
      <c r="L30" s="194"/>
      <c r="M30" s="114"/>
      <c r="N30" s="131"/>
      <c r="P30" s="132"/>
      <c r="Z30" s="195"/>
    </row>
    <row r="31" spans="1:26" s="170" customFormat="1" outlineLevel="1" x14ac:dyDescent="0.25">
      <c r="A31" s="187" t="s">
        <v>162</v>
      </c>
      <c r="B31" s="202"/>
      <c r="C31" s="203"/>
      <c r="D31" s="208" t="s">
        <v>145</v>
      </c>
      <c r="E31" s="191" t="s">
        <v>128</v>
      </c>
      <c r="F31" s="192" t="s">
        <v>59</v>
      </c>
      <c r="G31" s="193">
        <v>1</v>
      </c>
      <c r="H31" s="103">
        <f>2*2</f>
        <v>4</v>
      </c>
      <c r="I31" s="135"/>
      <c r="J31" s="204"/>
      <c r="K31" s="194"/>
      <c r="L31" s="194"/>
      <c r="M31" s="114"/>
      <c r="N31" s="131"/>
      <c r="P31" s="132"/>
      <c r="Z31" s="195"/>
    </row>
    <row r="32" spans="1:26" s="170" customFormat="1" outlineLevel="1" x14ac:dyDescent="0.25">
      <c r="A32" s="187" t="s">
        <v>163</v>
      </c>
      <c r="B32" s="202"/>
      <c r="C32" s="203"/>
      <c r="D32" s="208" t="s">
        <v>146</v>
      </c>
      <c r="E32" s="191" t="s">
        <v>128</v>
      </c>
      <c r="F32" s="192" t="s">
        <v>59</v>
      </c>
      <c r="G32" s="193">
        <v>1</v>
      </c>
      <c r="H32" s="103">
        <f>1*2</f>
        <v>2</v>
      </c>
      <c r="I32" s="135"/>
      <c r="J32" s="204"/>
      <c r="K32" s="194"/>
      <c r="L32" s="194"/>
      <c r="M32" s="114"/>
      <c r="N32" s="131"/>
      <c r="P32" s="132"/>
      <c r="Z32" s="195"/>
    </row>
    <row r="33" spans="1:26" s="170" customFormat="1" outlineLevel="1" x14ac:dyDescent="0.25">
      <c r="A33" s="187" t="s">
        <v>164</v>
      </c>
      <c r="B33" s="202"/>
      <c r="C33" s="203"/>
      <c r="D33" s="208" t="s">
        <v>147</v>
      </c>
      <c r="E33" s="191" t="s">
        <v>128</v>
      </c>
      <c r="F33" s="192" t="s">
        <v>59</v>
      </c>
      <c r="G33" s="193">
        <v>1</v>
      </c>
      <c r="H33" s="103">
        <f>1*2</f>
        <v>2</v>
      </c>
      <c r="I33" s="135"/>
      <c r="J33" s="204"/>
      <c r="K33" s="194"/>
      <c r="L33" s="194"/>
      <c r="M33" s="114"/>
      <c r="N33" s="131"/>
      <c r="P33" s="132"/>
      <c r="Z33" s="195"/>
    </row>
    <row r="34" spans="1:26" s="170" customFormat="1" ht="76.5" outlineLevel="1" x14ac:dyDescent="0.25">
      <c r="A34" s="178" t="s">
        <v>31</v>
      </c>
      <c r="B34" s="179" t="s">
        <v>134</v>
      </c>
      <c r="C34" s="179"/>
      <c r="D34" s="180" t="s">
        <v>202</v>
      </c>
      <c r="E34" s="181" t="s">
        <v>6</v>
      </c>
      <c r="F34" s="182" t="s">
        <v>124</v>
      </c>
      <c r="G34" s="262"/>
      <c r="H34" s="104">
        <f>33*4+22+16</f>
        <v>170</v>
      </c>
      <c r="I34" s="143"/>
      <c r="J34" s="237"/>
      <c r="K34" s="184">
        <f>J34</f>
        <v>0</v>
      </c>
      <c r="L34" s="184"/>
      <c r="M34" s="112">
        <f>J34*H34</f>
        <v>0</v>
      </c>
      <c r="N34" s="130">
        <f>M34</f>
        <v>0</v>
      </c>
      <c r="P34" s="185" t="s">
        <v>201</v>
      </c>
      <c r="Z34" s="195"/>
    </row>
    <row r="35" spans="1:26" s="170" customFormat="1" ht="45" outlineLevel="1" x14ac:dyDescent="0.25">
      <c r="A35" s="210" t="s">
        <v>165</v>
      </c>
      <c r="B35" s="202"/>
      <c r="C35" s="203"/>
      <c r="D35" s="208" t="s">
        <v>135</v>
      </c>
      <c r="E35" s="211" t="s">
        <v>128</v>
      </c>
      <c r="F35" s="212" t="s">
        <v>124</v>
      </c>
      <c r="G35" s="193">
        <v>1.03</v>
      </c>
      <c r="H35" s="103">
        <f>ROUND((33+33)*G35,0)</f>
        <v>68</v>
      </c>
      <c r="I35" s="236"/>
      <c r="J35" s="133"/>
      <c r="K35" s="194">
        <f t="shared" ref="K35:K46" si="3">I35</f>
        <v>0</v>
      </c>
      <c r="L35" s="194">
        <f t="shared" ref="L35:L46" si="4">I35*H35</f>
        <v>0</v>
      </c>
      <c r="M35" s="114"/>
      <c r="N35" s="131">
        <f t="shared" ref="N35:N46" si="5">L35</f>
        <v>0</v>
      </c>
      <c r="P35" s="132"/>
      <c r="Z35" s="195"/>
    </row>
    <row r="36" spans="1:26" s="170" customFormat="1" ht="45" outlineLevel="1" x14ac:dyDescent="0.25">
      <c r="A36" s="210" t="s">
        <v>166</v>
      </c>
      <c r="B36" s="202"/>
      <c r="C36" s="203"/>
      <c r="D36" s="208" t="s">
        <v>138</v>
      </c>
      <c r="E36" s="211" t="s">
        <v>128</v>
      </c>
      <c r="F36" s="212" t="s">
        <v>124</v>
      </c>
      <c r="G36" s="193">
        <v>1.03</v>
      </c>
      <c r="H36" s="103">
        <f>ROUND((33+33)*G36,0)</f>
        <v>68</v>
      </c>
      <c r="I36" s="236"/>
      <c r="J36" s="133"/>
      <c r="K36" s="194">
        <f t="shared" ref="K36:K37" si="6">I36</f>
        <v>0</v>
      </c>
      <c r="L36" s="194">
        <f t="shared" ref="L36:L37" si="7">I36*H36</f>
        <v>0</v>
      </c>
      <c r="M36" s="114"/>
      <c r="N36" s="131">
        <f t="shared" ref="N36:N37" si="8">L36</f>
        <v>0</v>
      </c>
      <c r="P36" s="132"/>
      <c r="Z36" s="195"/>
    </row>
    <row r="37" spans="1:26" s="170" customFormat="1" ht="45" outlineLevel="1" x14ac:dyDescent="0.25">
      <c r="A37" s="210" t="s">
        <v>167</v>
      </c>
      <c r="B37" s="202"/>
      <c r="C37" s="203"/>
      <c r="D37" s="208" t="s">
        <v>136</v>
      </c>
      <c r="E37" s="211" t="s">
        <v>128</v>
      </c>
      <c r="F37" s="212" t="s">
        <v>124</v>
      </c>
      <c r="G37" s="193">
        <v>1.03</v>
      </c>
      <c r="H37" s="103">
        <f>ROUND((22+16)*G37,0)</f>
        <v>39</v>
      </c>
      <c r="I37" s="236"/>
      <c r="J37" s="133"/>
      <c r="K37" s="194">
        <f t="shared" si="6"/>
        <v>0</v>
      </c>
      <c r="L37" s="194">
        <f t="shared" si="7"/>
        <v>0</v>
      </c>
      <c r="M37" s="114"/>
      <c r="N37" s="131">
        <f t="shared" si="8"/>
        <v>0</v>
      </c>
      <c r="P37" s="132"/>
      <c r="Z37" s="195"/>
    </row>
    <row r="38" spans="1:26" s="170" customFormat="1" ht="76.5" outlineLevel="1" x14ac:dyDescent="0.25">
      <c r="A38" s="178" t="s">
        <v>32</v>
      </c>
      <c r="B38" s="179" t="s">
        <v>134</v>
      </c>
      <c r="C38" s="179"/>
      <c r="D38" s="180" t="s">
        <v>213</v>
      </c>
      <c r="E38" s="181" t="s">
        <v>6</v>
      </c>
      <c r="F38" s="182" t="s">
        <v>124</v>
      </c>
      <c r="G38" s="262"/>
      <c r="H38" s="104">
        <f>35*4+53+108*13</f>
        <v>1597</v>
      </c>
      <c r="I38" s="143"/>
      <c r="J38" s="237"/>
      <c r="K38" s="184">
        <f>J38</f>
        <v>0</v>
      </c>
      <c r="L38" s="184"/>
      <c r="M38" s="112">
        <f>J38*H38</f>
        <v>0</v>
      </c>
      <c r="N38" s="130">
        <f>M38</f>
        <v>0</v>
      </c>
      <c r="P38" s="185" t="s">
        <v>201</v>
      </c>
      <c r="Z38" s="195"/>
    </row>
    <row r="39" spans="1:26" s="170" customFormat="1" ht="45" outlineLevel="1" x14ac:dyDescent="0.25">
      <c r="A39" s="210" t="s">
        <v>170</v>
      </c>
      <c r="B39" s="202"/>
      <c r="C39" s="203"/>
      <c r="D39" s="208" t="s">
        <v>135</v>
      </c>
      <c r="E39" s="211" t="s">
        <v>128</v>
      </c>
      <c r="F39" s="212" t="s">
        <v>124</v>
      </c>
      <c r="G39" s="193">
        <v>1.03</v>
      </c>
      <c r="H39" s="103">
        <f>ROUND((35*2+53+108*13)*G39,0)</f>
        <v>1573</v>
      </c>
      <c r="I39" s="236"/>
      <c r="J39" s="133"/>
      <c r="K39" s="194">
        <f t="shared" ref="K39" si="9">I39</f>
        <v>0</v>
      </c>
      <c r="L39" s="194">
        <f t="shared" ref="L39" si="10">I39*H39</f>
        <v>0</v>
      </c>
      <c r="M39" s="114"/>
      <c r="N39" s="131">
        <f t="shared" ref="N39" si="11">L39</f>
        <v>0</v>
      </c>
      <c r="P39" s="132"/>
      <c r="Z39" s="195"/>
    </row>
    <row r="40" spans="1:26" s="170" customFormat="1" ht="45" outlineLevel="1" x14ac:dyDescent="0.25">
      <c r="A40" s="210" t="s">
        <v>203</v>
      </c>
      <c r="B40" s="202"/>
      <c r="C40" s="203"/>
      <c r="D40" s="208" t="s">
        <v>138</v>
      </c>
      <c r="E40" s="211" t="s">
        <v>128</v>
      </c>
      <c r="F40" s="212" t="s">
        <v>124</v>
      </c>
      <c r="G40" s="193">
        <v>1.03</v>
      </c>
      <c r="H40" s="103">
        <f>ROUND(35*2*G40,0)</f>
        <v>72</v>
      </c>
      <c r="I40" s="236"/>
      <c r="J40" s="133"/>
      <c r="K40" s="194">
        <f>I40</f>
        <v>0</v>
      </c>
      <c r="L40" s="194">
        <f>I40*H40</f>
        <v>0</v>
      </c>
      <c r="M40" s="114"/>
      <c r="N40" s="131">
        <f>L40</f>
        <v>0</v>
      </c>
      <c r="P40" s="132"/>
      <c r="Z40" s="195"/>
    </row>
    <row r="41" spans="1:26" s="170" customFormat="1" outlineLevel="1" x14ac:dyDescent="0.25">
      <c r="A41" s="210" t="s">
        <v>204</v>
      </c>
      <c r="B41" s="202"/>
      <c r="C41" s="203"/>
      <c r="D41" s="208" t="s">
        <v>139</v>
      </c>
      <c r="E41" s="211" t="s">
        <v>128</v>
      </c>
      <c r="F41" s="212" t="s">
        <v>124</v>
      </c>
      <c r="G41" s="193">
        <v>1.1000000000000001</v>
      </c>
      <c r="H41" s="103">
        <f>ROUND(1597*G41,0)</f>
        <v>1757</v>
      </c>
      <c r="I41" s="236"/>
      <c r="J41" s="133"/>
      <c r="K41" s="194">
        <f>I41</f>
        <v>0</v>
      </c>
      <c r="L41" s="194">
        <f>I41*H41</f>
        <v>0</v>
      </c>
      <c r="M41" s="114"/>
      <c r="N41" s="131">
        <f>L41</f>
        <v>0</v>
      </c>
      <c r="P41" s="132"/>
      <c r="Z41" s="195"/>
    </row>
    <row r="42" spans="1:26" s="170" customFormat="1" outlineLevel="1" x14ac:dyDescent="0.25">
      <c r="A42" s="210" t="s">
        <v>207</v>
      </c>
      <c r="B42" s="202"/>
      <c r="C42" s="203"/>
      <c r="D42" s="208" t="s">
        <v>152</v>
      </c>
      <c r="E42" s="211" t="s">
        <v>128</v>
      </c>
      <c r="F42" s="212" t="s">
        <v>59</v>
      </c>
      <c r="G42" s="193">
        <v>1</v>
      </c>
      <c r="H42" s="103">
        <v>28</v>
      </c>
      <c r="I42" s="236"/>
      <c r="J42" s="133"/>
      <c r="K42" s="194">
        <f>I42</f>
        <v>0</v>
      </c>
      <c r="L42" s="194">
        <f>I42*H42</f>
        <v>0</v>
      </c>
      <c r="M42" s="114"/>
      <c r="N42" s="131">
        <f>L42</f>
        <v>0</v>
      </c>
      <c r="P42" s="132"/>
      <c r="Z42" s="195"/>
    </row>
    <row r="43" spans="1:26" s="170" customFormat="1" ht="76.5" outlineLevel="1" x14ac:dyDescent="0.25">
      <c r="A43" s="178" t="s">
        <v>33</v>
      </c>
      <c r="B43" s="179" t="s">
        <v>134</v>
      </c>
      <c r="C43" s="179"/>
      <c r="D43" s="180" t="s">
        <v>206</v>
      </c>
      <c r="E43" s="181" t="s">
        <v>6</v>
      </c>
      <c r="F43" s="182" t="s">
        <v>124</v>
      </c>
      <c r="G43" s="262"/>
      <c r="H43" s="104">
        <f>6*4+84*2</f>
        <v>192</v>
      </c>
      <c r="I43" s="143"/>
      <c r="J43" s="237"/>
      <c r="K43" s="184">
        <f>J43</f>
        <v>0</v>
      </c>
      <c r="L43" s="184"/>
      <c r="M43" s="112">
        <f>J43*H43</f>
        <v>0</v>
      </c>
      <c r="N43" s="130">
        <f>M43</f>
        <v>0</v>
      </c>
      <c r="P43" s="185" t="s">
        <v>201</v>
      </c>
      <c r="Z43" s="195"/>
    </row>
    <row r="44" spans="1:26" s="170" customFormat="1" ht="45" outlineLevel="1" x14ac:dyDescent="0.25">
      <c r="A44" s="210" t="s">
        <v>208</v>
      </c>
      <c r="B44" s="202"/>
      <c r="C44" s="203"/>
      <c r="D44" s="208" t="s">
        <v>135</v>
      </c>
      <c r="E44" s="211" t="s">
        <v>128</v>
      </c>
      <c r="F44" s="212" t="s">
        <v>124</v>
      </c>
      <c r="G44" s="193">
        <v>1.03</v>
      </c>
      <c r="H44" s="103">
        <f>ROUND((6*2)*G44,0)</f>
        <v>12</v>
      </c>
      <c r="I44" s="236"/>
      <c r="J44" s="133"/>
      <c r="K44" s="194">
        <f t="shared" ref="K44" si="12">I44</f>
        <v>0</v>
      </c>
      <c r="L44" s="194">
        <f t="shared" ref="L44" si="13">I44*H44</f>
        <v>0</v>
      </c>
      <c r="M44" s="114"/>
      <c r="N44" s="131">
        <f t="shared" ref="N44" si="14">L44</f>
        <v>0</v>
      </c>
      <c r="P44" s="132"/>
      <c r="Z44" s="195"/>
    </row>
    <row r="45" spans="1:26" s="170" customFormat="1" ht="45" outlineLevel="1" x14ac:dyDescent="0.25">
      <c r="A45" s="210" t="s">
        <v>209</v>
      </c>
      <c r="B45" s="202"/>
      <c r="C45" s="203"/>
      <c r="D45" s="208" t="s">
        <v>138</v>
      </c>
      <c r="E45" s="211" t="s">
        <v>128</v>
      </c>
      <c r="F45" s="212" t="s">
        <v>124</v>
      </c>
      <c r="G45" s="193">
        <v>1.03</v>
      </c>
      <c r="H45" s="103">
        <f>ROUND(6*2*G45,0)</f>
        <v>12</v>
      </c>
      <c r="I45" s="236"/>
      <c r="J45" s="133"/>
      <c r="K45" s="194">
        <f>I45</f>
        <v>0</v>
      </c>
      <c r="L45" s="194">
        <f>I45*H45</f>
        <v>0</v>
      </c>
      <c r="M45" s="114"/>
      <c r="N45" s="131">
        <f>L45</f>
        <v>0</v>
      </c>
      <c r="P45" s="132"/>
      <c r="Z45" s="195"/>
    </row>
    <row r="46" spans="1:26" s="170" customFormat="1" ht="45" outlineLevel="1" x14ac:dyDescent="0.25">
      <c r="A46" s="210" t="s">
        <v>210</v>
      </c>
      <c r="B46" s="202"/>
      <c r="C46" s="203"/>
      <c r="D46" s="208" t="s">
        <v>136</v>
      </c>
      <c r="E46" s="211" t="s">
        <v>128</v>
      </c>
      <c r="F46" s="212" t="s">
        <v>124</v>
      </c>
      <c r="G46" s="193">
        <v>1.03</v>
      </c>
      <c r="H46" s="103">
        <f>ROUND(84*2*G46,0)</f>
        <v>173</v>
      </c>
      <c r="I46" s="236"/>
      <c r="J46" s="133"/>
      <c r="K46" s="194">
        <f t="shared" si="3"/>
        <v>0</v>
      </c>
      <c r="L46" s="194">
        <f t="shared" si="4"/>
        <v>0</v>
      </c>
      <c r="M46" s="114"/>
      <c r="N46" s="131">
        <f t="shared" si="5"/>
        <v>0</v>
      </c>
      <c r="P46" s="132"/>
      <c r="Z46" s="195"/>
    </row>
    <row r="47" spans="1:26" s="170" customFormat="1" ht="12.75" outlineLevel="1" x14ac:dyDescent="0.25">
      <c r="A47" s="178" t="s">
        <v>34</v>
      </c>
      <c r="B47" s="179"/>
      <c r="C47" s="179"/>
      <c r="D47" s="180" t="s">
        <v>225</v>
      </c>
      <c r="E47" s="181" t="s">
        <v>6</v>
      </c>
      <c r="F47" s="182" t="s">
        <v>59</v>
      </c>
      <c r="G47" s="183"/>
      <c r="H47" s="104">
        <f>H48</f>
        <v>214</v>
      </c>
      <c r="I47" s="143"/>
      <c r="J47" s="237"/>
      <c r="K47" s="184">
        <f>J47</f>
        <v>0</v>
      </c>
      <c r="L47" s="184"/>
      <c r="M47" s="112">
        <f>J47*H47</f>
        <v>0</v>
      </c>
      <c r="N47" s="130">
        <f>M47</f>
        <v>0</v>
      </c>
      <c r="P47" s="185" t="s">
        <v>211</v>
      </c>
      <c r="Z47" s="195"/>
    </row>
    <row r="48" spans="1:26" s="170" customFormat="1" outlineLevel="1" x14ac:dyDescent="0.25">
      <c r="A48" s="187" t="s">
        <v>212</v>
      </c>
      <c r="B48" s="188"/>
      <c r="C48" s="189"/>
      <c r="D48" s="207" t="s">
        <v>148</v>
      </c>
      <c r="E48" s="191" t="s">
        <v>128</v>
      </c>
      <c r="F48" s="192" t="s">
        <v>59</v>
      </c>
      <c r="G48" s="193">
        <v>1</v>
      </c>
      <c r="H48" s="103">
        <f>107*2</f>
        <v>214</v>
      </c>
      <c r="I48" s="236"/>
      <c r="J48" s="113"/>
      <c r="K48" s="194">
        <f>I48</f>
        <v>0</v>
      </c>
      <c r="L48" s="194">
        <f>I48*H48</f>
        <v>0</v>
      </c>
      <c r="M48" s="114"/>
      <c r="N48" s="131">
        <f>L48</f>
        <v>0</v>
      </c>
      <c r="P48" s="132"/>
      <c r="Z48" s="195"/>
    </row>
    <row r="49" spans="1:26" s="170" customFormat="1" ht="12.75" x14ac:dyDescent="0.25">
      <c r="A49" s="171">
        <v>2</v>
      </c>
      <c r="B49" s="172"/>
      <c r="C49" s="172"/>
      <c r="D49" s="173" t="s">
        <v>103</v>
      </c>
      <c r="E49" s="125"/>
      <c r="F49" s="174"/>
      <c r="G49" s="175"/>
      <c r="H49" s="142"/>
      <c r="I49" s="240"/>
      <c r="J49" s="126"/>
      <c r="K49" s="176"/>
      <c r="L49" s="176"/>
      <c r="M49" s="127"/>
      <c r="N49" s="129"/>
      <c r="P49" s="111"/>
    </row>
    <row r="50" spans="1:26" s="170" customFormat="1" ht="12.75" outlineLevel="1" x14ac:dyDescent="0.25">
      <c r="A50" s="178" t="s">
        <v>70</v>
      </c>
      <c r="B50" s="179" t="s">
        <v>104</v>
      </c>
      <c r="C50" s="179"/>
      <c r="D50" s="180" t="s">
        <v>105</v>
      </c>
      <c r="E50" s="181" t="s">
        <v>6</v>
      </c>
      <c r="F50" s="182" t="s">
        <v>59</v>
      </c>
      <c r="G50" s="183"/>
      <c r="H50" s="104">
        <f>H51</f>
        <v>2</v>
      </c>
      <c r="I50" s="143"/>
      <c r="J50" s="105"/>
      <c r="K50" s="184">
        <f>J50</f>
        <v>0</v>
      </c>
      <c r="L50" s="184"/>
      <c r="M50" s="112">
        <f>J50*H50</f>
        <v>0</v>
      </c>
      <c r="N50" s="130">
        <f>M50</f>
        <v>0</v>
      </c>
      <c r="P50" s="185" t="s">
        <v>211</v>
      </c>
      <c r="Z50" s="195"/>
    </row>
    <row r="51" spans="1:26" s="170" customFormat="1" outlineLevel="1" x14ac:dyDescent="0.25">
      <c r="A51" s="187" t="s">
        <v>92</v>
      </c>
      <c r="B51" s="188"/>
      <c r="C51" s="189"/>
      <c r="D51" s="207" t="s">
        <v>106</v>
      </c>
      <c r="E51" s="191" t="s">
        <v>128</v>
      </c>
      <c r="F51" s="192" t="s">
        <v>59</v>
      </c>
      <c r="G51" s="193">
        <v>1</v>
      </c>
      <c r="H51" s="103">
        <v>2</v>
      </c>
      <c r="I51" s="236"/>
      <c r="J51" s="113"/>
      <c r="K51" s="194">
        <f t="shared" ref="K51" si="15">I51</f>
        <v>0</v>
      </c>
      <c r="L51" s="194">
        <f t="shared" ref="L51" si="16">I51*H51</f>
        <v>0</v>
      </c>
      <c r="M51" s="114"/>
      <c r="N51" s="131">
        <f t="shared" ref="N51" si="17">L51</f>
        <v>0</v>
      </c>
      <c r="P51" s="111"/>
      <c r="Z51" s="195"/>
    </row>
    <row r="52" spans="1:26" s="170" customFormat="1" ht="12.75" outlineLevel="1" x14ac:dyDescent="0.25">
      <c r="A52" s="178" t="s">
        <v>71</v>
      </c>
      <c r="B52" s="179" t="s">
        <v>107</v>
      </c>
      <c r="C52" s="179"/>
      <c r="D52" s="180" t="s">
        <v>108</v>
      </c>
      <c r="E52" s="181" t="s">
        <v>6</v>
      </c>
      <c r="F52" s="182" t="s">
        <v>59</v>
      </c>
      <c r="G52" s="183"/>
      <c r="H52" s="104">
        <f>H53</f>
        <v>2</v>
      </c>
      <c r="I52" s="143"/>
      <c r="J52" s="105"/>
      <c r="K52" s="184">
        <f>J52</f>
        <v>0</v>
      </c>
      <c r="L52" s="184"/>
      <c r="M52" s="112">
        <f>J52*H52</f>
        <v>0</v>
      </c>
      <c r="N52" s="130">
        <f>M52</f>
        <v>0</v>
      </c>
      <c r="P52" s="185" t="s">
        <v>211</v>
      </c>
      <c r="Z52" s="195"/>
    </row>
    <row r="53" spans="1:26" s="170" customFormat="1" outlineLevel="1" x14ac:dyDescent="0.25">
      <c r="A53" s="187" t="s">
        <v>93</v>
      </c>
      <c r="B53" s="188"/>
      <c r="C53" s="189"/>
      <c r="D53" s="207" t="s">
        <v>109</v>
      </c>
      <c r="E53" s="191" t="s">
        <v>128</v>
      </c>
      <c r="F53" s="192" t="s">
        <v>59</v>
      </c>
      <c r="G53" s="193">
        <v>1</v>
      </c>
      <c r="H53" s="103">
        <v>2</v>
      </c>
      <c r="I53" s="236"/>
      <c r="J53" s="113"/>
      <c r="K53" s="194">
        <f>I53</f>
        <v>0</v>
      </c>
      <c r="L53" s="194">
        <f>I53*H53</f>
        <v>0</v>
      </c>
      <c r="M53" s="114"/>
      <c r="N53" s="131">
        <f>L53</f>
        <v>0</v>
      </c>
      <c r="P53" s="111"/>
      <c r="Z53" s="195"/>
    </row>
    <row r="54" spans="1:26" s="170" customFormat="1" ht="12.75" outlineLevel="1" x14ac:dyDescent="0.25">
      <c r="A54" s="178" t="s">
        <v>72</v>
      </c>
      <c r="B54" s="179" t="s">
        <v>111</v>
      </c>
      <c r="C54" s="179"/>
      <c r="D54" s="180" t="s">
        <v>110</v>
      </c>
      <c r="E54" s="181" t="s">
        <v>6</v>
      </c>
      <c r="F54" s="182" t="s">
        <v>59</v>
      </c>
      <c r="G54" s="183"/>
      <c r="H54" s="104">
        <f>H55</f>
        <v>2</v>
      </c>
      <c r="I54" s="143"/>
      <c r="J54" s="105"/>
      <c r="K54" s="184">
        <f>J54</f>
        <v>0</v>
      </c>
      <c r="L54" s="184"/>
      <c r="M54" s="112">
        <f>J54*H54</f>
        <v>0</v>
      </c>
      <c r="N54" s="130">
        <f>M54</f>
        <v>0</v>
      </c>
      <c r="P54" s="185" t="s">
        <v>211</v>
      </c>
      <c r="Z54" s="195"/>
    </row>
    <row r="55" spans="1:26" s="170" customFormat="1" outlineLevel="1" x14ac:dyDescent="0.25">
      <c r="A55" s="187" t="s">
        <v>94</v>
      </c>
      <c r="B55" s="188"/>
      <c r="C55" s="189"/>
      <c r="D55" s="207" t="s">
        <v>112</v>
      </c>
      <c r="E55" s="191" t="s">
        <v>128</v>
      </c>
      <c r="F55" s="192" t="s">
        <v>59</v>
      </c>
      <c r="G55" s="193">
        <v>1</v>
      </c>
      <c r="H55" s="103">
        <v>2</v>
      </c>
      <c r="I55" s="236"/>
      <c r="J55" s="113"/>
      <c r="K55" s="194">
        <f t="shared" ref="K55" si="18">I55</f>
        <v>0</v>
      </c>
      <c r="L55" s="194">
        <f t="shared" ref="L55" si="19">I55*H55</f>
        <v>0</v>
      </c>
      <c r="M55" s="114"/>
      <c r="N55" s="131">
        <f t="shared" ref="N55" si="20">L55</f>
        <v>0</v>
      </c>
      <c r="P55" s="111"/>
      <c r="Z55" s="195"/>
    </row>
    <row r="56" spans="1:26" s="170" customFormat="1" ht="12.75" outlineLevel="1" x14ac:dyDescent="0.25">
      <c r="A56" s="178" t="s">
        <v>73</v>
      </c>
      <c r="B56" s="179" t="s">
        <v>114</v>
      </c>
      <c r="C56" s="179"/>
      <c r="D56" s="180" t="s">
        <v>113</v>
      </c>
      <c r="E56" s="181" t="s">
        <v>6</v>
      </c>
      <c r="F56" s="182" t="s">
        <v>59</v>
      </c>
      <c r="G56" s="183"/>
      <c r="H56" s="104">
        <f>H57</f>
        <v>2</v>
      </c>
      <c r="I56" s="143"/>
      <c r="J56" s="105"/>
      <c r="K56" s="184">
        <f>J56</f>
        <v>0</v>
      </c>
      <c r="L56" s="184"/>
      <c r="M56" s="112">
        <f>J56*H56</f>
        <v>0</v>
      </c>
      <c r="N56" s="130">
        <f>M56</f>
        <v>0</v>
      </c>
      <c r="P56" s="185" t="s">
        <v>211</v>
      </c>
      <c r="Z56" s="195"/>
    </row>
    <row r="57" spans="1:26" s="170" customFormat="1" ht="25.5" outlineLevel="1" x14ac:dyDescent="0.25">
      <c r="A57" s="187" t="s">
        <v>95</v>
      </c>
      <c r="B57" s="188"/>
      <c r="C57" s="189" t="s">
        <v>183</v>
      </c>
      <c r="D57" s="206" t="s">
        <v>115</v>
      </c>
      <c r="E57" s="191" t="s">
        <v>128</v>
      </c>
      <c r="F57" s="192" t="s">
        <v>59</v>
      </c>
      <c r="G57" s="193">
        <v>1</v>
      </c>
      <c r="H57" s="103">
        <v>2</v>
      </c>
      <c r="I57" s="236"/>
      <c r="J57" s="113"/>
      <c r="K57" s="194">
        <f>I57</f>
        <v>0</v>
      </c>
      <c r="L57" s="194">
        <f>I57*H57</f>
        <v>0</v>
      </c>
      <c r="M57" s="114"/>
      <c r="N57" s="131">
        <f>L57</f>
        <v>0</v>
      </c>
      <c r="P57" s="111"/>
      <c r="Z57" s="195"/>
    </row>
    <row r="58" spans="1:26" s="170" customFormat="1" ht="12.75" outlineLevel="1" x14ac:dyDescent="0.25">
      <c r="A58" s="178" t="s">
        <v>99</v>
      </c>
      <c r="B58" s="179" t="s">
        <v>117</v>
      </c>
      <c r="C58" s="179"/>
      <c r="D58" s="180" t="s">
        <v>116</v>
      </c>
      <c r="E58" s="181" t="s">
        <v>6</v>
      </c>
      <c r="F58" s="182" t="s">
        <v>59</v>
      </c>
      <c r="G58" s="183"/>
      <c r="H58" s="104">
        <f>H59</f>
        <v>2</v>
      </c>
      <c r="I58" s="143"/>
      <c r="J58" s="105"/>
      <c r="K58" s="184">
        <f>J58</f>
        <v>0</v>
      </c>
      <c r="L58" s="184"/>
      <c r="M58" s="112">
        <f>J58*H58</f>
        <v>0</v>
      </c>
      <c r="N58" s="130">
        <f>M58</f>
        <v>0</v>
      </c>
      <c r="P58" s="185" t="s">
        <v>211</v>
      </c>
      <c r="Z58" s="195"/>
    </row>
    <row r="59" spans="1:26" s="170" customFormat="1" ht="12.75" outlineLevel="1" x14ac:dyDescent="0.25">
      <c r="A59" s="187" t="s">
        <v>100</v>
      </c>
      <c r="B59" s="188"/>
      <c r="C59" s="189"/>
      <c r="D59" s="206" t="s">
        <v>118</v>
      </c>
      <c r="E59" s="191" t="s">
        <v>128</v>
      </c>
      <c r="F59" s="192" t="s">
        <v>59</v>
      </c>
      <c r="G59" s="193">
        <v>1</v>
      </c>
      <c r="H59" s="103">
        <v>2</v>
      </c>
      <c r="I59" s="236"/>
      <c r="J59" s="113"/>
      <c r="K59" s="194">
        <f>I59</f>
        <v>0</v>
      </c>
      <c r="L59" s="194">
        <f>I59*H59</f>
        <v>0</v>
      </c>
      <c r="M59" s="114"/>
      <c r="N59" s="131">
        <f>L59</f>
        <v>0</v>
      </c>
      <c r="P59" s="132"/>
      <c r="Z59" s="195"/>
    </row>
    <row r="60" spans="1:26" s="170" customFormat="1" ht="12.75" outlineLevel="1" x14ac:dyDescent="0.25">
      <c r="A60" s="178" t="s">
        <v>171</v>
      </c>
      <c r="B60" s="179" t="s">
        <v>119</v>
      </c>
      <c r="C60" s="179"/>
      <c r="D60" s="180" t="s">
        <v>120</v>
      </c>
      <c r="E60" s="181" t="s">
        <v>6</v>
      </c>
      <c r="F60" s="182" t="s">
        <v>59</v>
      </c>
      <c r="G60" s="183"/>
      <c r="H60" s="104">
        <f>H61</f>
        <v>2</v>
      </c>
      <c r="I60" s="143"/>
      <c r="J60" s="105"/>
      <c r="K60" s="184">
        <f>J60</f>
        <v>0</v>
      </c>
      <c r="L60" s="184"/>
      <c r="M60" s="112">
        <f>J60*H60</f>
        <v>0</v>
      </c>
      <c r="N60" s="130">
        <f>M60</f>
        <v>0</v>
      </c>
      <c r="P60" s="185" t="s">
        <v>211</v>
      </c>
      <c r="Z60" s="195"/>
    </row>
    <row r="61" spans="1:26" s="170" customFormat="1" ht="12.75" outlineLevel="1" x14ac:dyDescent="0.25">
      <c r="A61" s="187" t="s">
        <v>172</v>
      </c>
      <c r="B61" s="188"/>
      <c r="C61" s="189"/>
      <c r="D61" s="206" t="s">
        <v>121</v>
      </c>
      <c r="E61" s="191" t="s">
        <v>128</v>
      </c>
      <c r="F61" s="192" t="s">
        <v>59</v>
      </c>
      <c r="G61" s="193">
        <v>1</v>
      </c>
      <c r="H61" s="103">
        <v>2</v>
      </c>
      <c r="I61" s="236"/>
      <c r="J61" s="113"/>
      <c r="K61" s="194">
        <f>I61</f>
        <v>0</v>
      </c>
      <c r="L61" s="194">
        <f>I61*H61</f>
        <v>0</v>
      </c>
      <c r="M61" s="114"/>
      <c r="N61" s="131">
        <f>L61</f>
        <v>0</v>
      </c>
      <c r="P61" s="132"/>
      <c r="Z61" s="195"/>
    </row>
    <row r="62" spans="1:26" s="170" customFormat="1" ht="76.5" outlineLevel="1" x14ac:dyDescent="0.25">
      <c r="A62" s="178" t="s">
        <v>173</v>
      </c>
      <c r="B62" s="179" t="s">
        <v>122</v>
      </c>
      <c r="C62" s="179"/>
      <c r="D62" s="180" t="s">
        <v>202</v>
      </c>
      <c r="E62" s="181" t="s">
        <v>6</v>
      </c>
      <c r="F62" s="182" t="s">
        <v>124</v>
      </c>
      <c r="G62" s="183"/>
      <c r="H62" s="104">
        <f>11+14</f>
        <v>25</v>
      </c>
      <c r="I62" s="143"/>
      <c r="J62" s="105"/>
      <c r="K62" s="184">
        <f>J62</f>
        <v>0</v>
      </c>
      <c r="L62" s="184"/>
      <c r="M62" s="112">
        <f>J62*H62</f>
        <v>0</v>
      </c>
      <c r="N62" s="130">
        <f>M62</f>
        <v>0</v>
      </c>
      <c r="P62" s="201" t="s">
        <v>201</v>
      </c>
      <c r="Z62" s="195"/>
    </row>
    <row r="63" spans="1:26" s="170" customFormat="1" ht="38.25" outlineLevel="1" x14ac:dyDescent="0.25">
      <c r="A63" s="218" t="s">
        <v>174</v>
      </c>
      <c r="B63" s="202"/>
      <c r="C63" s="203"/>
      <c r="D63" s="219" t="s">
        <v>123</v>
      </c>
      <c r="E63" s="191" t="s">
        <v>128</v>
      </c>
      <c r="F63" s="212" t="s">
        <v>124</v>
      </c>
      <c r="G63" s="193">
        <v>1.03</v>
      </c>
      <c r="H63" s="103">
        <f>ROUND((11+14)*G63,0)</f>
        <v>26</v>
      </c>
      <c r="I63" s="236"/>
      <c r="J63" s="133"/>
      <c r="K63" s="194">
        <f>I63</f>
        <v>0</v>
      </c>
      <c r="L63" s="194">
        <f>I63*H63</f>
        <v>0</v>
      </c>
      <c r="M63" s="114"/>
      <c r="N63" s="131">
        <f>L63</f>
        <v>0</v>
      </c>
      <c r="P63" s="132"/>
      <c r="Z63" s="195"/>
    </row>
    <row r="64" spans="1:26" s="170" customFormat="1" ht="76.5" outlineLevel="1" x14ac:dyDescent="0.25">
      <c r="A64" s="178" t="s">
        <v>214</v>
      </c>
      <c r="B64" s="179" t="s">
        <v>122</v>
      </c>
      <c r="C64" s="179"/>
      <c r="D64" s="180" t="s">
        <v>213</v>
      </c>
      <c r="E64" s="181" t="s">
        <v>6</v>
      </c>
      <c r="F64" s="182" t="s">
        <v>124</v>
      </c>
      <c r="G64" s="183"/>
      <c r="H64" s="104">
        <f>4+13+12+12+11+11+9+9</f>
        <v>81</v>
      </c>
      <c r="I64" s="143"/>
      <c r="J64" s="105"/>
      <c r="K64" s="184">
        <f>J64</f>
        <v>0</v>
      </c>
      <c r="L64" s="184"/>
      <c r="M64" s="112">
        <f>J64*H64</f>
        <v>0</v>
      </c>
      <c r="N64" s="130">
        <f>M64</f>
        <v>0</v>
      </c>
      <c r="P64" s="201" t="s">
        <v>201</v>
      </c>
      <c r="Z64" s="195"/>
    </row>
    <row r="65" spans="1:26" s="170" customFormat="1" ht="38.25" outlineLevel="1" x14ac:dyDescent="0.25">
      <c r="A65" s="218" t="s">
        <v>215</v>
      </c>
      <c r="B65" s="202"/>
      <c r="C65" s="203"/>
      <c r="D65" s="219" t="s">
        <v>123</v>
      </c>
      <c r="E65" s="191" t="s">
        <v>128</v>
      </c>
      <c r="F65" s="212" t="s">
        <v>124</v>
      </c>
      <c r="G65" s="193">
        <v>1.03</v>
      </c>
      <c r="H65" s="103">
        <f>ROUND((4+13+11+11+9+9)*G65,0)</f>
        <v>59</v>
      </c>
      <c r="I65" s="236"/>
      <c r="J65" s="133"/>
      <c r="K65" s="194">
        <f>I65</f>
        <v>0</v>
      </c>
      <c r="L65" s="194">
        <f>I65*H65</f>
        <v>0</v>
      </c>
      <c r="M65" s="114"/>
      <c r="N65" s="131">
        <f>L65</f>
        <v>0</v>
      </c>
      <c r="P65" s="132"/>
      <c r="Z65" s="195"/>
    </row>
    <row r="66" spans="1:26" s="170" customFormat="1" ht="38.25" outlineLevel="1" x14ac:dyDescent="0.25">
      <c r="A66" s="218" t="s">
        <v>218</v>
      </c>
      <c r="B66" s="202"/>
      <c r="C66" s="203"/>
      <c r="D66" s="219" t="s">
        <v>137</v>
      </c>
      <c r="E66" s="191" t="s">
        <v>128</v>
      </c>
      <c r="F66" s="212" t="s">
        <v>124</v>
      </c>
      <c r="G66" s="193">
        <v>1.03</v>
      </c>
      <c r="H66" s="103">
        <f>ROUND(24*G66,0)</f>
        <v>25</v>
      </c>
      <c r="I66" s="236"/>
      <c r="J66" s="133"/>
      <c r="K66" s="194">
        <f t="shared" ref="K66:K67" si="21">I66</f>
        <v>0</v>
      </c>
      <c r="L66" s="194">
        <f t="shared" ref="L66:L67" si="22">I66*H66</f>
        <v>0</v>
      </c>
      <c r="M66" s="114"/>
      <c r="N66" s="131">
        <f t="shared" ref="N66:N67" si="23">L66</f>
        <v>0</v>
      </c>
      <c r="P66" s="132"/>
      <c r="Z66" s="195"/>
    </row>
    <row r="67" spans="1:26" s="170" customFormat="1" ht="12.75" outlineLevel="1" x14ac:dyDescent="0.25">
      <c r="A67" s="218" t="s">
        <v>219</v>
      </c>
      <c r="B67" s="202"/>
      <c r="C67" s="203"/>
      <c r="D67" s="219" t="s">
        <v>125</v>
      </c>
      <c r="E67" s="191" t="s">
        <v>128</v>
      </c>
      <c r="F67" s="212" t="s">
        <v>124</v>
      </c>
      <c r="G67" s="193">
        <v>1.1000000000000001</v>
      </c>
      <c r="H67" s="103">
        <f>ROUND(81*G67,0)</f>
        <v>89</v>
      </c>
      <c r="I67" s="236"/>
      <c r="J67" s="133"/>
      <c r="K67" s="194">
        <f t="shared" si="21"/>
        <v>0</v>
      </c>
      <c r="L67" s="194">
        <f t="shared" si="22"/>
        <v>0</v>
      </c>
      <c r="M67" s="114"/>
      <c r="N67" s="131">
        <f t="shared" si="23"/>
        <v>0</v>
      </c>
      <c r="P67" s="132"/>
      <c r="Z67" s="195"/>
    </row>
    <row r="68" spans="1:26" s="170" customFormat="1" ht="76.5" outlineLevel="1" x14ac:dyDescent="0.25">
      <c r="A68" s="178" t="s">
        <v>216</v>
      </c>
      <c r="B68" s="179" t="s">
        <v>122</v>
      </c>
      <c r="C68" s="179"/>
      <c r="D68" s="180" t="s">
        <v>206</v>
      </c>
      <c r="E68" s="181" t="s">
        <v>6</v>
      </c>
      <c r="F68" s="182" t="s">
        <v>124</v>
      </c>
      <c r="G68" s="183"/>
      <c r="H68" s="104">
        <v>6</v>
      </c>
      <c r="I68" s="143"/>
      <c r="J68" s="105"/>
      <c r="K68" s="184">
        <f>J68</f>
        <v>0</v>
      </c>
      <c r="L68" s="184"/>
      <c r="M68" s="112">
        <f>J68*H68</f>
        <v>0</v>
      </c>
      <c r="N68" s="130">
        <f>M68</f>
        <v>0</v>
      </c>
      <c r="P68" s="201" t="s">
        <v>201</v>
      </c>
      <c r="Z68" s="195"/>
    </row>
    <row r="69" spans="1:26" s="170" customFormat="1" ht="38.25" outlineLevel="1" x14ac:dyDescent="0.25">
      <c r="A69" s="218" t="s">
        <v>220</v>
      </c>
      <c r="B69" s="202"/>
      <c r="C69" s="203"/>
      <c r="D69" s="219" t="s">
        <v>123</v>
      </c>
      <c r="E69" s="191" t="s">
        <v>128</v>
      </c>
      <c r="F69" s="212" t="s">
        <v>124</v>
      </c>
      <c r="G69" s="193">
        <v>1.03</v>
      </c>
      <c r="H69" s="103">
        <f>ROUND(6*G69,0)</f>
        <v>6</v>
      </c>
      <c r="I69" s="236"/>
      <c r="J69" s="133"/>
      <c r="K69" s="194">
        <f>I69</f>
        <v>0</v>
      </c>
      <c r="L69" s="194">
        <f>I69*H69</f>
        <v>0</v>
      </c>
      <c r="M69" s="114"/>
      <c r="N69" s="131">
        <f>L69</f>
        <v>0</v>
      </c>
      <c r="P69" s="132"/>
      <c r="Z69" s="195"/>
    </row>
    <row r="70" spans="1:26" s="170" customFormat="1" ht="12.75" x14ac:dyDescent="0.25">
      <c r="A70" s="171">
        <v>3</v>
      </c>
      <c r="B70" s="172"/>
      <c r="C70" s="172"/>
      <c r="D70" s="173" t="s">
        <v>190</v>
      </c>
      <c r="E70" s="125"/>
      <c r="F70" s="174"/>
      <c r="G70" s="175"/>
      <c r="H70" s="128"/>
      <c r="I70" s="240"/>
      <c r="J70" s="126"/>
      <c r="K70" s="176"/>
      <c r="L70" s="176"/>
      <c r="M70" s="127"/>
      <c r="N70" s="129"/>
      <c r="P70" s="132"/>
      <c r="Z70" s="195"/>
    </row>
    <row r="71" spans="1:26" s="170" customFormat="1" ht="25.5" outlineLevel="1" x14ac:dyDescent="0.25">
      <c r="A71" s="178" t="s">
        <v>191</v>
      </c>
      <c r="B71" s="179" t="s">
        <v>187</v>
      </c>
      <c r="C71" s="179"/>
      <c r="D71" s="180" t="s">
        <v>189</v>
      </c>
      <c r="E71" s="181" t="s">
        <v>6</v>
      </c>
      <c r="F71" s="182" t="s">
        <v>124</v>
      </c>
      <c r="G71" s="183"/>
      <c r="H71" s="104">
        <f>H72</f>
        <v>28</v>
      </c>
      <c r="I71" s="143"/>
      <c r="J71" s="105"/>
      <c r="K71" s="184">
        <f>J71</f>
        <v>0</v>
      </c>
      <c r="L71" s="184"/>
      <c r="M71" s="112">
        <f>J71*H71</f>
        <v>0</v>
      </c>
      <c r="N71" s="130">
        <f>M71</f>
        <v>0</v>
      </c>
      <c r="P71" s="185" t="s">
        <v>211</v>
      </c>
      <c r="Z71" s="195"/>
    </row>
    <row r="72" spans="1:26" s="170" customFormat="1" ht="25.5" outlineLevel="1" x14ac:dyDescent="0.25">
      <c r="A72" s="218" t="s">
        <v>192</v>
      </c>
      <c r="B72" s="202"/>
      <c r="C72" s="203"/>
      <c r="D72" s="219" t="s">
        <v>188</v>
      </c>
      <c r="E72" s="191" t="s">
        <v>128</v>
      </c>
      <c r="F72" s="212" t="s">
        <v>124</v>
      </c>
      <c r="G72" s="193">
        <v>1</v>
      </c>
      <c r="H72" s="103">
        <v>28</v>
      </c>
      <c r="I72" s="236"/>
      <c r="J72" s="133"/>
      <c r="K72" s="194">
        <f>I72</f>
        <v>0</v>
      </c>
      <c r="L72" s="194">
        <f>I72*H72</f>
        <v>0</v>
      </c>
      <c r="M72" s="114"/>
      <c r="N72" s="131">
        <f>L72</f>
        <v>0</v>
      </c>
      <c r="P72" s="132"/>
      <c r="Z72" s="195"/>
    </row>
    <row r="73" spans="1:26" s="170" customFormat="1" ht="12.75" outlineLevel="1" x14ac:dyDescent="0.25">
      <c r="A73" s="218" t="s">
        <v>197</v>
      </c>
      <c r="B73" s="202"/>
      <c r="C73" s="203"/>
      <c r="D73" s="219" t="s">
        <v>193</v>
      </c>
      <c r="E73" s="191" t="s">
        <v>128</v>
      </c>
      <c r="F73" s="212" t="s">
        <v>59</v>
      </c>
      <c r="G73" s="193">
        <v>1</v>
      </c>
      <c r="H73" s="103">
        <f>ROUNDUP($H$72/2,0)</f>
        <v>14</v>
      </c>
      <c r="I73" s="236"/>
      <c r="J73" s="133"/>
      <c r="K73" s="194">
        <f>I73</f>
        <v>0</v>
      </c>
      <c r="L73" s="194">
        <f>I73*H73</f>
        <v>0</v>
      </c>
      <c r="M73" s="114"/>
      <c r="N73" s="131">
        <f>L73</f>
        <v>0</v>
      </c>
      <c r="P73" s="132"/>
      <c r="Z73" s="195"/>
    </row>
    <row r="74" spans="1:26" s="170" customFormat="1" ht="12.75" outlineLevel="1" x14ac:dyDescent="0.25">
      <c r="A74" s="218" t="s">
        <v>198</v>
      </c>
      <c r="B74" s="202"/>
      <c r="C74" s="203"/>
      <c r="D74" s="219" t="s">
        <v>196</v>
      </c>
      <c r="E74" s="191" t="s">
        <v>128</v>
      </c>
      <c r="F74" s="212" t="s">
        <v>59</v>
      </c>
      <c r="G74" s="193">
        <v>1</v>
      </c>
      <c r="H74" s="103">
        <f t="shared" ref="H74:H76" si="24">ROUNDUP($H$72/2,0)</f>
        <v>14</v>
      </c>
      <c r="I74" s="236"/>
      <c r="J74" s="133"/>
      <c r="K74" s="194">
        <f>I74</f>
        <v>0</v>
      </c>
      <c r="L74" s="194">
        <f>I74*H74</f>
        <v>0</v>
      </c>
      <c r="M74" s="114"/>
      <c r="N74" s="131">
        <f>L74</f>
        <v>0</v>
      </c>
      <c r="P74" s="132"/>
      <c r="Z74" s="195"/>
    </row>
    <row r="75" spans="1:26" s="170" customFormat="1" ht="12.75" outlineLevel="1" x14ac:dyDescent="0.25">
      <c r="A75" s="218" t="s">
        <v>199</v>
      </c>
      <c r="B75" s="202"/>
      <c r="C75" s="203"/>
      <c r="D75" s="219" t="s">
        <v>195</v>
      </c>
      <c r="E75" s="191" t="s">
        <v>128</v>
      </c>
      <c r="F75" s="212" t="s">
        <v>59</v>
      </c>
      <c r="G75" s="193">
        <v>1</v>
      </c>
      <c r="H75" s="103">
        <f t="shared" si="24"/>
        <v>14</v>
      </c>
      <c r="I75" s="236"/>
      <c r="J75" s="133"/>
      <c r="K75" s="194">
        <f>I75</f>
        <v>0</v>
      </c>
      <c r="L75" s="194">
        <f>I75*H75</f>
        <v>0</v>
      </c>
      <c r="M75" s="114"/>
      <c r="N75" s="131">
        <f>L75</f>
        <v>0</v>
      </c>
      <c r="P75" s="132"/>
      <c r="Z75" s="195"/>
    </row>
    <row r="76" spans="1:26" s="170" customFormat="1" ht="12.75" outlineLevel="1" x14ac:dyDescent="0.25">
      <c r="A76" s="218" t="s">
        <v>200</v>
      </c>
      <c r="B76" s="202"/>
      <c r="C76" s="203"/>
      <c r="D76" s="219" t="s">
        <v>194</v>
      </c>
      <c r="E76" s="191" t="s">
        <v>128</v>
      </c>
      <c r="F76" s="212" t="s">
        <v>59</v>
      </c>
      <c r="G76" s="193">
        <v>1</v>
      </c>
      <c r="H76" s="103">
        <f t="shared" si="24"/>
        <v>14</v>
      </c>
      <c r="I76" s="236"/>
      <c r="J76" s="133"/>
      <c r="K76" s="194">
        <f>I76</f>
        <v>0</v>
      </c>
      <c r="L76" s="194">
        <f>I76*H76</f>
        <v>0</v>
      </c>
      <c r="M76" s="114"/>
      <c r="N76" s="131">
        <f>L76</f>
        <v>0</v>
      </c>
      <c r="P76" s="132"/>
      <c r="Z76" s="195"/>
    </row>
    <row r="77" spans="1:26" s="170" customFormat="1" x14ac:dyDescent="0.25">
      <c r="A77" s="220"/>
      <c r="B77" s="221"/>
      <c r="C77" s="115"/>
      <c r="D77" s="273" t="s">
        <v>296</v>
      </c>
      <c r="E77" s="107"/>
      <c r="F77" s="107"/>
      <c r="G77" s="107"/>
      <c r="H77" s="108"/>
      <c r="I77" s="274"/>
      <c r="J77" s="275"/>
      <c r="K77" s="110"/>
      <c r="L77" s="119"/>
      <c r="M77" s="119"/>
      <c r="N77" s="119"/>
      <c r="P77" s="132"/>
      <c r="Z77" s="195"/>
    </row>
    <row r="78" spans="1:26" s="170" customFormat="1" ht="12.75" x14ac:dyDescent="0.25">
      <c r="A78" s="171">
        <v>4</v>
      </c>
      <c r="B78" s="172"/>
      <c r="C78" s="172"/>
      <c r="D78" s="173" t="s">
        <v>102</v>
      </c>
      <c r="E78" s="125"/>
      <c r="F78" s="174"/>
      <c r="G78" s="175"/>
      <c r="H78" s="128"/>
      <c r="I78" s="240"/>
      <c r="J78" s="126"/>
      <c r="K78" s="176"/>
      <c r="L78" s="176"/>
      <c r="M78" s="127"/>
      <c r="N78" s="129"/>
      <c r="P78" s="111"/>
    </row>
    <row r="79" spans="1:26" s="170" customFormat="1" ht="25.5" outlineLevel="1" x14ac:dyDescent="0.25">
      <c r="A79" s="178" t="s">
        <v>230</v>
      </c>
      <c r="B79" s="179" t="s">
        <v>129</v>
      </c>
      <c r="C79" s="179"/>
      <c r="D79" s="180" t="s">
        <v>126</v>
      </c>
      <c r="E79" s="181" t="s">
        <v>6</v>
      </c>
      <c r="F79" s="182" t="s">
        <v>127</v>
      </c>
      <c r="G79" s="183"/>
      <c r="H79" s="104">
        <v>2</v>
      </c>
      <c r="I79" s="143"/>
      <c r="J79" s="105"/>
      <c r="K79" s="184">
        <f>J79</f>
        <v>0</v>
      </c>
      <c r="L79" s="184"/>
      <c r="M79" s="112">
        <f>J79*H79</f>
        <v>0</v>
      </c>
      <c r="N79" s="130">
        <f>M79</f>
        <v>0</v>
      </c>
      <c r="P79" s="185" t="s">
        <v>211</v>
      </c>
      <c r="U79" s="186"/>
    </row>
    <row r="80" spans="1:26" s="170" customFormat="1" outlineLevel="1" x14ac:dyDescent="0.25">
      <c r="A80" s="187" t="s">
        <v>231</v>
      </c>
      <c r="B80" s="188"/>
      <c r="C80" s="189"/>
      <c r="D80" s="190" t="s">
        <v>109</v>
      </c>
      <c r="E80" s="191" t="s">
        <v>128</v>
      </c>
      <c r="F80" s="192" t="s">
        <v>59</v>
      </c>
      <c r="G80" s="193">
        <v>1</v>
      </c>
      <c r="H80" s="103">
        <v>2</v>
      </c>
      <c r="I80" s="236"/>
      <c r="J80" s="106"/>
      <c r="K80" s="194">
        <f>I80</f>
        <v>0</v>
      </c>
      <c r="L80" s="194">
        <f>I80*H80</f>
        <v>0</v>
      </c>
      <c r="M80" s="114"/>
      <c r="N80" s="131">
        <f>L80</f>
        <v>0</v>
      </c>
      <c r="P80" s="111"/>
      <c r="Z80" s="195"/>
    </row>
    <row r="81" spans="1:26" s="170" customFormat="1" outlineLevel="1" x14ac:dyDescent="0.25">
      <c r="A81" s="187" t="s">
        <v>232</v>
      </c>
      <c r="B81" s="188"/>
      <c r="C81" s="189"/>
      <c r="D81" s="190" t="s">
        <v>112</v>
      </c>
      <c r="E81" s="191" t="s">
        <v>128</v>
      </c>
      <c r="F81" s="192" t="s">
        <v>59</v>
      </c>
      <c r="G81" s="193">
        <v>1</v>
      </c>
      <c r="H81" s="103">
        <v>2</v>
      </c>
      <c r="I81" s="236"/>
      <c r="J81" s="113"/>
      <c r="K81" s="194">
        <f>I81</f>
        <v>0</v>
      </c>
      <c r="L81" s="194">
        <f>I81*H81</f>
        <v>0</v>
      </c>
      <c r="M81" s="114"/>
      <c r="N81" s="131">
        <f>L81</f>
        <v>0</v>
      </c>
      <c r="P81" s="111"/>
      <c r="Z81" s="195"/>
    </row>
    <row r="82" spans="1:26" s="170" customFormat="1" ht="12.75" outlineLevel="1" x14ac:dyDescent="0.25">
      <c r="A82" s="178" t="s">
        <v>233</v>
      </c>
      <c r="B82" s="179"/>
      <c r="C82" s="179"/>
      <c r="D82" s="180" t="s">
        <v>153</v>
      </c>
      <c r="E82" s="181" t="s">
        <v>6</v>
      </c>
      <c r="F82" s="182" t="s">
        <v>59</v>
      </c>
      <c r="G82" s="183"/>
      <c r="H82" s="104">
        <f>H84</f>
        <v>2</v>
      </c>
      <c r="I82" s="143"/>
      <c r="J82" s="237"/>
      <c r="K82" s="184">
        <f>J82</f>
        <v>0</v>
      </c>
      <c r="L82" s="184"/>
      <c r="M82" s="112">
        <f>J82*H82</f>
        <v>0</v>
      </c>
      <c r="N82" s="130">
        <f>M82</f>
        <v>0</v>
      </c>
      <c r="P82" s="185" t="s">
        <v>211</v>
      </c>
      <c r="Z82" s="195"/>
    </row>
    <row r="83" spans="1:26" s="170" customFormat="1" ht="15" customHeight="1" outlineLevel="1" x14ac:dyDescent="0.25">
      <c r="A83" s="263" t="s">
        <v>234</v>
      </c>
      <c r="B83" s="197"/>
      <c r="C83" s="197"/>
      <c r="D83" s="198" t="s">
        <v>149</v>
      </c>
      <c r="E83" s="191" t="s">
        <v>128</v>
      </c>
      <c r="F83" s="199" t="s">
        <v>59</v>
      </c>
      <c r="G83" s="200">
        <v>1</v>
      </c>
      <c r="H83" s="138">
        <v>2</v>
      </c>
      <c r="I83" s="238"/>
      <c r="J83" s="239"/>
      <c r="K83" s="194">
        <f t="shared" ref="K83:K86" si="25">I83</f>
        <v>0</v>
      </c>
      <c r="L83" s="194">
        <f t="shared" ref="L83:L86" si="26">I83*H83</f>
        <v>0</v>
      </c>
      <c r="M83" s="114"/>
      <c r="N83" s="131">
        <f t="shared" ref="N83:N86" si="27">L83</f>
        <v>0</v>
      </c>
      <c r="P83" s="137"/>
      <c r="Z83" s="195"/>
    </row>
    <row r="84" spans="1:26" s="170" customFormat="1" outlineLevel="1" x14ac:dyDescent="0.25">
      <c r="A84" s="187" t="s">
        <v>235</v>
      </c>
      <c r="B84" s="188"/>
      <c r="C84" s="189"/>
      <c r="D84" s="198" t="s">
        <v>130</v>
      </c>
      <c r="E84" s="191" t="s">
        <v>128</v>
      </c>
      <c r="F84" s="192" t="s">
        <v>59</v>
      </c>
      <c r="G84" s="193">
        <v>1</v>
      </c>
      <c r="H84" s="103">
        <v>2</v>
      </c>
      <c r="I84" s="236"/>
      <c r="J84" s="113"/>
      <c r="K84" s="194">
        <f t="shared" si="25"/>
        <v>0</v>
      </c>
      <c r="L84" s="194">
        <f t="shared" si="26"/>
        <v>0</v>
      </c>
      <c r="M84" s="114"/>
      <c r="N84" s="131">
        <f t="shared" si="27"/>
        <v>0</v>
      </c>
      <c r="P84" s="111"/>
      <c r="Z84" s="195"/>
    </row>
    <row r="85" spans="1:26" s="170" customFormat="1" outlineLevel="1" x14ac:dyDescent="0.25">
      <c r="A85" s="263" t="s">
        <v>236</v>
      </c>
      <c r="B85" s="202"/>
      <c r="C85" s="203"/>
      <c r="D85" s="198" t="s">
        <v>151</v>
      </c>
      <c r="E85" s="191" t="s">
        <v>128</v>
      </c>
      <c r="F85" s="192" t="s">
        <v>59</v>
      </c>
      <c r="G85" s="193">
        <v>1</v>
      </c>
      <c r="H85" s="103">
        <v>2</v>
      </c>
      <c r="I85" s="236"/>
      <c r="J85" s="133"/>
      <c r="K85" s="194">
        <f t="shared" si="25"/>
        <v>0</v>
      </c>
      <c r="L85" s="204">
        <f t="shared" si="26"/>
        <v>0</v>
      </c>
      <c r="M85" s="134"/>
      <c r="N85" s="136">
        <f t="shared" si="27"/>
        <v>0</v>
      </c>
      <c r="P85" s="132"/>
      <c r="Z85" s="195"/>
    </row>
    <row r="86" spans="1:26" s="170" customFormat="1" ht="30" outlineLevel="1" x14ac:dyDescent="0.25">
      <c r="A86" s="187" t="s">
        <v>237</v>
      </c>
      <c r="B86" s="202"/>
      <c r="C86" s="203"/>
      <c r="D86" s="198" t="s">
        <v>150</v>
      </c>
      <c r="E86" s="191" t="s">
        <v>128</v>
      </c>
      <c r="F86" s="192" t="s">
        <v>59</v>
      </c>
      <c r="G86" s="193">
        <v>1</v>
      </c>
      <c r="H86" s="103">
        <v>2</v>
      </c>
      <c r="I86" s="236"/>
      <c r="J86" s="133"/>
      <c r="K86" s="194">
        <f t="shared" si="25"/>
        <v>0</v>
      </c>
      <c r="L86" s="204">
        <f t="shared" si="26"/>
        <v>0</v>
      </c>
      <c r="M86" s="134"/>
      <c r="N86" s="136">
        <f t="shared" si="27"/>
        <v>0</v>
      </c>
      <c r="P86" s="132"/>
      <c r="Z86" s="195"/>
    </row>
    <row r="87" spans="1:26" s="170" customFormat="1" ht="12.75" outlineLevel="1" x14ac:dyDescent="0.25">
      <c r="A87" s="178" t="s">
        <v>238</v>
      </c>
      <c r="B87" s="179" t="s">
        <v>117</v>
      </c>
      <c r="C87" s="179"/>
      <c r="D87" s="180" t="s">
        <v>116</v>
      </c>
      <c r="E87" s="181" t="s">
        <v>6</v>
      </c>
      <c r="F87" s="182" t="s">
        <v>59</v>
      </c>
      <c r="G87" s="183"/>
      <c r="H87" s="104">
        <f>H88</f>
        <v>2</v>
      </c>
      <c r="I87" s="143"/>
      <c r="J87" s="105"/>
      <c r="K87" s="184">
        <f>J87</f>
        <v>0</v>
      </c>
      <c r="L87" s="184"/>
      <c r="M87" s="112">
        <f>J87*H87</f>
        <v>0</v>
      </c>
      <c r="N87" s="130">
        <f>M87</f>
        <v>0</v>
      </c>
      <c r="P87" s="185" t="s">
        <v>211</v>
      </c>
      <c r="Z87" s="195"/>
    </row>
    <row r="88" spans="1:26" s="170" customFormat="1" ht="12.75" outlineLevel="1" x14ac:dyDescent="0.25">
      <c r="A88" s="187" t="s">
        <v>239</v>
      </c>
      <c r="B88" s="188"/>
      <c r="C88" s="189"/>
      <c r="D88" s="206" t="s">
        <v>118</v>
      </c>
      <c r="E88" s="191" t="s">
        <v>128</v>
      </c>
      <c r="F88" s="192" t="s">
        <v>59</v>
      </c>
      <c r="G88" s="193">
        <v>1</v>
      </c>
      <c r="H88" s="103">
        <v>2</v>
      </c>
      <c r="I88" s="236"/>
      <c r="J88" s="113"/>
      <c r="K88" s="194">
        <f>I88</f>
        <v>0</v>
      </c>
      <c r="L88" s="194">
        <f>I88*H88</f>
        <v>0</v>
      </c>
      <c r="M88" s="114"/>
      <c r="N88" s="131">
        <f>L88</f>
        <v>0</v>
      </c>
      <c r="P88" s="132"/>
      <c r="Z88" s="195"/>
    </row>
    <row r="89" spans="1:26" s="170" customFormat="1" ht="76.5" outlineLevel="1" x14ac:dyDescent="0.25">
      <c r="A89" s="178" t="s">
        <v>240</v>
      </c>
      <c r="B89" s="179" t="s">
        <v>134</v>
      </c>
      <c r="C89" s="179"/>
      <c r="D89" s="180" t="s">
        <v>202</v>
      </c>
      <c r="E89" s="181" t="s">
        <v>6</v>
      </c>
      <c r="F89" s="182" t="s">
        <v>124</v>
      </c>
      <c r="G89" s="183"/>
      <c r="H89" s="104">
        <f>99*4+34+49</f>
        <v>479</v>
      </c>
      <c r="I89" s="143"/>
      <c r="J89" s="237"/>
      <c r="K89" s="184">
        <f>J89</f>
        <v>0</v>
      </c>
      <c r="L89" s="184"/>
      <c r="M89" s="112">
        <f>J89*H89</f>
        <v>0</v>
      </c>
      <c r="N89" s="130">
        <f>M89</f>
        <v>0</v>
      </c>
      <c r="P89" s="185" t="s">
        <v>201</v>
      </c>
      <c r="Z89" s="195"/>
    </row>
    <row r="90" spans="1:26" s="170" customFormat="1" ht="45" outlineLevel="1" x14ac:dyDescent="0.25">
      <c r="A90" s="210" t="s">
        <v>241</v>
      </c>
      <c r="B90" s="202"/>
      <c r="C90" s="203"/>
      <c r="D90" s="208" t="s">
        <v>135</v>
      </c>
      <c r="E90" s="211" t="s">
        <v>128</v>
      </c>
      <c r="F90" s="212" t="s">
        <v>124</v>
      </c>
      <c r="G90" s="193">
        <v>1.03</v>
      </c>
      <c r="H90" s="103">
        <f>ROUND((99+99)*G90,0)</f>
        <v>204</v>
      </c>
      <c r="I90" s="236"/>
      <c r="J90" s="133"/>
      <c r="K90" s="194">
        <f t="shared" ref="K90:K101" si="28">I90</f>
        <v>0</v>
      </c>
      <c r="L90" s="194">
        <f t="shared" ref="L90:L101" si="29">I90*H90</f>
        <v>0</v>
      </c>
      <c r="M90" s="114"/>
      <c r="N90" s="131">
        <f t="shared" ref="N90:N101" si="30">L90</f>
        <v>0</v>
      </c>
      <c r="P90" s="132"/>
      <c r="Z90" s="195"/>
    </row>
    <row r="91" spans="1:26" s="170" customFormat="1" ht="45" outlineLevel="1" x14ac:dyDescent="0.25">
      <c r="A91" s="210" t="s">
        <v>242</v>
      </c>
      <c r="B91" s="202"/>
      <c r="C91" s="203"/>
      <c r="D91" s="208" t="s">
        <v>138</v>
      </c>
      <c r="E91" s="211" t="s">
        <v>128</v>
      </c>
      <c r="F91" s="212" t="s">
        <v>124</v>
      </c>
      <c r="G91" s="193">
        <v>1.03</v>
      </c>
      <c r="H91" s="103">
        <f>ROUND((99+99)*G91,0)</f>
        <v>204</v>
      </c>
      <c r="I91" s="236"/>
      <c r="J91" s="133"/>
      <c r="K91" s="194">
        <f t="shared" si="28"/>
        <v>0</v>
      </c>
      <c r="L91" s="194">
        <f t="shared" si="29"/>
        <v>0</v>
      </c>
      <c r="M91" s="114"/>
      <c r="N91" s="131">
        <f t="shared" si="30"/>
        <v>0</v>
      </c>
      <c r="P91" s="132"/>
      <c r="Z91" s="195"/>
    </row>
    <row r="92" spans="1:26" s="170" customFormat="1" ht="45" outlineLevel="1" x14ac:dyDescent="0.25">
      <c r="A92" s="210" t="s">
        <v>243</v>
      </c>
      <c r="B92" s="202"/>
      <c r="C92" s="203"/>
      <c r="D92" s="208" t="s">
        <v>136</v>
      </c>
      <c r="E92" s="211" t="s">
        <v>128</v>
      </c>
      <c r="F92" s="212" t="s">
        <v>124</v>
      </c>
      <c r="G92" s="193">
        <v>1.03</v>
      </c>
      <c r="H92" s="103">
        <f>ROUND((34+49)*G92,0)</f>
        <v>85</v>
      </c>
      <c r="I92" s="236"/>
      <c r="J92" s="133"/>
      <c r="K92" s="194">
        <f t="shared" si="28"/>
        <v>0</v>
      </c>
      <c r="L92" s="194">
        <f t="shared" si="29"/>
        <v>0</v>
      </c>
      <c r="M92" s="114"/>
      <c r="N92" s="131">
        <f t="shared" si="30"/>
        <v>0</v>
      </c>
      <c r="P92" s="132"/>
      <c r="Z92" s="195"/>
    </row>
    <row r="93" spans="1:26" s="170" customFormat="1" ht="76.5" outlineLevel="1" x14ac:dyDescent="0.25">
      <c r="A93" s="178" t="s">
        <v>244</v>
      </c>
      <c r="B93" s="179" t="s">
        <v>134</v>
      </c>
      <c r="C93" s="179"/>
      <c r="D93" s="180" t="s">
        <v>213</v>
      </c>
      <c r="E93" s="181" t="s">
        <v>6</v>
      </c>
      <c r="F93" s="182" t="s">
        <v>124</v>
      </c>
      <c r="G93" s="183"/>
      <c r="H93" s="104">
        <f>29*4+210*16</f>
        <v>3476</v>
      </c>
      <c r="I93" s="143"/>
      <c r="J93" s="237"/>
      <c r="K93" s="184">
        <f>J93</f>
        <v>0</v>
      </c>
      <c r="L93" s="184"/>
      <c r="M93" s="112">
        <f>J93*H93</f>
        <v>0</v>
      </c>
      <c r="N93" s="130">
        <f>M93</f>
        <v>0</v>
      </c>
      <c r="P93" s="185" t="s">
        <v>201</v>
      </c>
      <c r="Z93" s="195"/>
    </row>
    <row r="94" spans="1:26" s="170" customFormat="1" ht="45" outlineLevel="1" x14ac:dyDescent="0.25">
      <c r="A94" s="210" t="s">
        <v>245</v>
      </c>
      <c r="B94" s="202"/>
      <c r="C94" s="203"/>
      <c r="D94" s="208" t="s">
        <v>135</v>
      </c>
      <c r="E94" s="211" t="s">
        <v>128</v>
      </c>
      <c r="F94" s="212" t="s">
        <v>124</v>
      </c>
      <c r="G94" s="193">
        <v>1.03</v>
      </c>
      <c r="H94" s="103">
        <f>ROUND((29*2+210*16)*G94,0)</f>
        <v>3521</v>
      </c>
      <c r="I94" s="236"/>
      <c r="J94" s="133"/>
      <c r="K94" s="194">
        <f t="shared" ref="K94:K95" si="31">I94</f>
        <v>0</v>
      </c>
      <c r="L94" s="194">
        <f t="shared" ref="L94:L95" si="32">I94*H94</f>
        <v>0</v>
      </c>
      <c r="M94" s="114"/>
      <c r="N94" s="131">
        <f t="shared" ref="N94:N95" si="33">L94</f>
        <v>0</v>
      </c>
      <c r="P94" s="132"/>
      <c r="Z94" s="195"/>
    </row>
    <row r="95" spans="1:26" s="170" customFormat="1" ht="45" outlineLevel="1" x14ac:dyDescent="0.25">
      <c r="A95" s="210" t="s">
        <v>246</v>
      </c>
      <c r="B95" s="202"/>
      <c r="C95" s="203"/>
      <c r="D95" s="208" t="s">
        <v>138</v>
      </c>
      <c r="E95" s="211" t="s">
        <v>128</v>
      </c>
      <c r="F95" s="212" t="s">
        <v>124</v>
      </c>
      <c r="G95" s="193">
        <v>1.03</v>
      </c>
      <c r="H95" s="103">
        <f>ROUND((29*2)*G95,0)</f>
        <v>60</v>
      </c>
      <c r="I95" s="236"/>
      <c r="J95" s="133"/>
      <c r="K95" s="194">
        <f t="shared" si="31"/>
        <v>0</v>
      </c>
      <c r="L95" s="194">
        <f t="shared" si="32"/>
        <v>0</v>
      </c>
      <c r="M95" s="114"/>
      <c r="N95" s="131">
        <f t="shared" si="33"/>
        <v>0</v>
      </c>
      <c r="P95" s="132"/>
      <c r="Z95" s="195"/>
    </row>
    <row r="96" spans="1:26" s="170" customFormat="1" outlineLevel="1" x14ac:dyDescent="0.25">
      <c r="A96" s="210" t="s">
        <v>247</v>
      </c>
      <c r="B96" s="202"/>
      <c r="C96" s="203"/>
      <c r="D96" s="208" t="s">
        <v>139</v>
      </c>
      <c r="E96" s="211" t="s">
        <v>128</v>
      </c>
      <c r="F96" s="212" t="s">
        <v>124</v>
      </c>
      <c r="G96" s="193">
        <v>1.1000000000000001</v>
      </c>
      <c r="H96" s="103">
        <f>ROUND(3476*G96,0)</f>
        <v>3824</v>
      </c>
      <c r="I96" s="236"/>
      <c r="J96" s="133"/>
      <c r="K96" s="194">
        <f>I96</f>
        <v>0</v>
      </c>
      <c r="L96" s="194">
        <f>I96*H96</f>
        <v>0</v>
      </c>
      <c r="M96" s="114"/>
      <c r="N96" s="131">
        <f>L96</f>
        <v>0</v>
      </c>
      <c r="P96" s="132"/>
      <c r="Z96" s="195"/>
    </row>
    <row r="97" spans="1:26" s="170" customFormat="1" outlineLevel="1" x14ac:dyDescent="0.25">
      <c r="A97" s="210" t="s">
        <v>299</v>
      </c>
      <c r="B97" s="202"/>
      <c r="C97" s="203"/>
      <c r="D97" s="208" t="s">
        <v>152</v>
      </c>
      <c r="E97" s="211" t="s">
        <v>128</v>
      </c>
      <c r="F97" s="212" t="s">
        <v>59</v>
      </c>
      <c r="G97" s="193">
        <v>1</v>
      </c>
      <c r="H97" s="103">
        <v>32</v>
      </c>
      <c r="I97" s="236"/>
      <c r="J97" s="133"/>
      <c r="K97" s="194">
        <f>I97</f>
        <v>0</v>
      </c>
      <c r="L97" s="194">
        <f>I97*H97</f>
        <v>0</v>
      </c>
      <c r="M97" s="114"/>
      <c r="N97" s="131">
        <f>L97</f>
        <v>0</v>
      </c>
      <c r="P97" s="132"/>
      <c r="Z97" s="195"/>
    </row>
    <row r="98" spans="1:26" s="170" customFormat="1" ht="76.5" outlineLevel="1" x14ac:dyDescent="0.25">
      <c r="A98" s="178" t="s">
        <v>249</v>
      </c>
      <c r="B98" s="179" t="s">
        <v>134</v>
      </c>
      <c r="C98" s="179"/>
      <c r="D98" s="180" t="s">
        <v>206</v>
      </c>
      <c r="E98" s="181" t="s">
        <v>6</v>
      </c>
      <c r="F98" s="182" t="s">
        <v>124</v>
      </c>
      <c r="G98" s="183"/>
      <c r="H98" s="104">
        <f>6*4+88*2</f>
        <v>200</v>
      </c>
      <c r="I98" s="143"/>
      <c r="J98" s="237"/>
      <c r="K98" s="184">
        <f>J98</f>
        <v>0</v>
      </c>
      <c r="L98" s="184"/>
      <c r="M98" s="112">
        <f>J98*H98</f>
        <v>0</v>
      </c>
      <c r="N98" s="130">
        <f>M98</f>
        <v>0</v>
      </c>
      <c r="P98" s="185" t="s">
        <v>201</v>
      </c>
      <c r="Z98" s="195"/>
    </row>
    <row r="99" spans="1:26" s="170" customFormat="1" ht="45" outlineLevel="1" x14ac:dyDescent="0.25">
      <c r="A99" s="210" t="s">
        <v>250</v>
      </c>
      <c r="B99" s="202"/>
      <c r="C99" s="203"/>
      <c r="D99" s="208" t="s">
        <v>135</v>
      </c>
      <c r="E99" s="211" t="s">
        <v>128</v>
      </c>
      <c r="F99" s="212" t="s">
        <v>124</v>
      </c>
      <c r="G99" s="193">
        <v>1.03</v>
      </c>
      <c r="H99" s="103">
        <f>ROUND((6*2)*G99,0)</f>
        <v>12</v>
      </c>
      <c r="I99" s="236"/>
      <c r="J99" s="133"/>
      <c r="K99" s="194">
        <f t="shared" ref="K99" si="34">I99</f>
        <v>0</v>
      </c>
      <c r="L99" s="194">
        <f t="shared" ref="L99" si="35">I99*H99</f>
        <v>0</v>
      </c>
      <c r="M99" s="114"/>
      <c r="N99" s="131">
        <f t="shared" ref="N99" si="36">L99</f>
        <v>0</v>
      </c>
      <c r="P99" s="265"/>
      <c r="Z99" s="195"/>
    </row>
    <row r="100" spans="1:26" s="170" customFormat="1" ht="45" outlineLevel="1" x14ac:dyDescent="0.25">
      <c r="A100" s="210" t="s">
        <v>251</v>
      </c>
      <c r="B100" s="202"/>
      <c r="C100" s="203"/>
      <c r="D100" s="208" t="s">
        <v>138</v>
      </c>
      <c r="E100" s="211" t="s">
        <v>128</v>
      </c>
      <c r="F100" s="212" t="s">
        <v>124</v>
      </c>
      <c r="G100" s="193">
        <v>1.03</v>
      </c>
      <c r="H100" s="103">
        <f>ROUND((6*2)*G100,0)</f>
        <v>12</v>
      </c>
      <c r="I100" s="236"/>
      <c r="J100" s="133"/>
      <c r="K100" s="194">
        <f>I100</f>
        <v>0</v>
      </c>
      <c r="L100" s="194">
        <f>I100*H100</f>
        <v>0</v>
      </c>
      <c r="M100" s="114"/>
      <c r="N100" s="131">
        <f>L100</f>
        <v>0</v>
      </c>
      <c r="P100" s="265"/>
      <c r="Z100" s="195"/>
    </row>
    <row r="101" spans="1:26" s="170" customFormat="1" ht="45" outlineLevel="1" x14ac:dyDescent="0.25">
      <c r="A101" s="210" t="s">
        <v>252</v>
      </c>
      <c r="B101" s="202"/>
      <c r="C101" s="203"/>
      <c r="D101" s="208" t="s">
        <v>136</v>
      </c>
      <c r="E101" s="211" t="s">
        <v>128</v>
      </c>
      <c r="F101" s="212" t="s">
        <v>124</v>
      </c>
      <c r="G101" s="193">
        <v>1.03</v>
      </c>
      <c r="H101" s="103">
        <f>ROUND((88*2)*G101,0)</f>
        <v>181</v>
      </c>
      <c r="I101" s="236"/>
      <c r="J101" s="133"/>
      <c r="K101" s="194">
        <f t="shared" si="28"/>
        <v>0</v>
      </c>
      <c r="L101" s="194">
        <f t="shared" si="29"/>
        <v>0</v>
      </c>
      <c r="M101" s="114"/>
      <c r="N101" s="131">
        <f t="shared" si="30"/>
        <v>0</v>
      </c>
      <c r="P101" s="132"/>
      <c r="Z101" s="195"/>
    </row>
    <row r="102" spans="1:26" s="170" customFormat="1" ht="12.75" outlineLevel="1" x14ac:dyDescent="0.25">
      <c r="A102" s="178" t="s">
        <v>253</v>
      </c>
      <c r="B102" s="179"/>
      <c r="C102" s="179"/>
      <c r="D102" s="180" t="s">
        <v>225</v>
      </c>
      <c r="E102" s="181" t="s">
        <v>6</v>
      </c>
      <c r="F102" s="182" t="s">
        <v>59</v>
      </c>
      <c r="G102" s="183"/>
      <c r="H102" s="104">
        <f>H103</f>
        <v>256</v>
      </c>
      <c r="I102" s="143"/>
      <c r="J102" s="237"/>
      <c r="K102" s="184">
        <f>J102</f>
        <v>0</v>
      </c>
      <c r="L102" s="184"/>
      <c r="M102" s="112">
        <f>J102*H102</f>
        <v>0</v>
      </c>
      <c r="N102" s="130">
        <f>M102</f>
        <v>0</v>
      </c>
      <c r="P102" s="185" t="s">
        <v>211</v>
      </c>
      <c r="Z102" s="195"/>
    </row>
    <row r="103" spans="1:26" s="170" customFormat="1" outlineLevel="1" x14ac:dyDescent="0.25">
      <c r="A103" s="187" t="s">
        <v>254</v>
      </c>
      <c r="B103" s="188"/>
      <c r="C103" s="189"/>
      <c r="D103" s="207" t="s">
        <v>148</v>
      </c>
      <c r="E103" s="191" t="s">
        <v>128</v>
      </c>
      <c r="F103" s="192" t="s">
        <v>59</v>
      </c>
      <c r="G103" s="193">
        <v>1</v>
      </c>
      <c r="H103" s="103">
        <f>128*2</f>
        <v>256</v>
      </c>
      <c r="I103" s="236"/>
      <c r="J103" s="113"/>
      <c r="K103" s="194">
        <f>I103</f>
        <v>0</v>
      </c>
      <c r="L103" s="194">
        <f>I103*H103</f>
        <v>0</v>
      </c>
      <c r="M103" s="114"/>
      <c r="N103" s="131">
        <f>L103</f>
        <v>0</v>
      </c>
      <c r="P103" s="132"/>
      <c r="Z103" s="195"/>
    </row>
    <row r="104" spans="1:26" s="170" customFormat="1" ht="12.75" x14ac:dyDescent="0.25">
      <c r="A104" s="171">
        <v>5</v>
      </c>
      <c r="B104" s="172"/>
      <c r="C104" s="172"/>
      <c r="D104" s="173" t="s">
        <v>103</v>
      </c>
      <c r="E104" s="125"/>
      <c r="F104" s="174"/>
      <c r="G104" s="175"/>
      <c r="H104" s="142"/>
      <c r="I104" s="240"/>
      <c r="J104" s="126"/>
      <c r="K104" s="176"/>
      <c r="L104" s="176"/>
      <c r="M104" s="127"/>
      <c r="N104" s="129"/>
      <c r="P104" s="111"/>
    </row>
    <row r="105" spans="1:26" s="170" customFormat="1" ht="12.75" outlineLevel="1" x14ac:dyDescent="0.25">
      <c r="A105" s="178" t="s">
        <v>255</v>
      </c>
      <c r="B105" s="179" t="s">
        <v>104</v>
      </c>
      <c r="C105" s="179"/>
      <c r="D105" s="180" t="s">
        <v>105</v>
      </c>
      <c r="E105" s="181" t="s">
        <v>6</v>
      </c>
      <c r="F105" s="182" t="s">
        <v>59</v>
      </c>
      <c r="G105" s="183"/>
      <c r="H105" s="104">
        <f>H106</f>
        <v>3</v>
      </c>
      <c r="I105" s="143"/>
      <c r="J105" s="105"/>
      <c r="K105" s="184">
        <f>J105</f>
        <v>0</v>
      </c>
      <c r="L105" s="184"/>
      <c r="M105" s="112">
        <f>J105*H105</f>
        <v>0</v>
      </c>
      <c r="N105" s="130">
        <f>M105</f>
        <v>0</v>
      </c>
      <c r="P105" s="185" t="s">
        <v>211</v>
      </c>
      <c r="Z105" s="195"/>
    </row>
    <row r="106" spans="1:26" s="170" customFormat="1" outlineLevel="1" x14ac:dyDescent="0.25">
      <c r="A106" s="187" t="s">
        <v>256</v>
      </c>
      <c r="B106" s="188"/>
      <c r="C106" s="189"/>
      <c r="D106" s="207" t="s">
        <v>106</v>
      </c>
      <c r="E106" s="191" t="s">
        <v>128</v>
      </c>
      <c r="F106" s="192" t="s">
        <v>59</v>
      </c>
      <c r="G106" s="193">
        <v>1</v>
      </c>
      <c r="H106" s="103">
        <v>3</v>
      </c>
      <c r="I106" s="236"/>
      <c r="J106" s="113"/>
      <c r="K106" s="194">
        <f t="shared" ref="K106" si="37">I106</f>
        <v>0</v>
      </c>
      <c r="L106" s="194">
        <f t="shared" ref="L106" si="38">I106*H106</f>
        <v>0</v>
      </c>
      <c r="M106" s="114"/>
      <c r="N106" s="131">
        <f t="shared" ref="N106" si="39">L106</f>
        <v>0</v>
      </c>
      <c r="P106" s="111"/>
      <c r="Z106" s="195"/>
    </row>
    <row r="107" spans="1:26" s="170" customFormat="1" ht="12.75" outlineLevel="1" x14ac:dyDescent="0.25">
      <c r="A107" s="178" t="s">
        <v>257</v>
      </c>
      <c r="B107" s="179" t="s">
        <v>107</v>
      </c>
      <c r="C107" s="179"/>
      <c r="D107" s="180" t="s">
        <v>108</v>
      </c>
      <c r="E107" s="181" t="s">
        <v>6</v>
      </c>
      <c r="F107" s="182" t="s">
        <v>59</v>
      </c>
      <c r="G107" s="183"/>
      <c r="H107" s="104">
        <f>H108</f>
        <v>3</v>
      </c>
      <c r="I107" s="143"/>
      <c r="J107" s="105"/>
      <c r="K107" s="184">
        <f>J107</f>
        <v>0</v>
      </c>
      <c r="L107" s="184"/>
      <c r="M107" s="112">
        <f>J107*H107</f>
        <v>0</v>
      </c>
      <c r="N107" s="130">
        <f>M107</f>
        <v>0</v>
      </c>
      <c r="P107" s="185" t="s">
        <v>211</v>
      </c>
      <c r="Z107" s="195"/>
    </row>
    <row r="108" spans="1:26" s="170" customFormat="1" outlineLevel="1" x14ac:dyDescent="0.25">
      <c r="A108" s="187" t="s">
        <v>258</v>
      </c>
      <c r="B108" s="188"/>
      <c r="C108" s="189"/>
      <c r="D108" s="207" t="s">
        <v>109</v>
      </c>
      <c r="E108" s="191" t="s">
        <v>128</v>
      </c>
      <c r="F108" s="192" t="s">
        <v>59</v>
      </c>
      <c r="G108" s="193">
        <v>1</v>
      </c>
      <c r="H108" s="103">
        <v>3</v>
      </c>
      <c r="I108" s="236"/>
      <c r="J108" s="113"/>
      <c r="K108" s="194">
        <f>I108</f>
        <v>0</v>
      </c>
      <c r="L108" s="194">
        <f>I108*H108</f>
        <v>0</v>
      </c>
      <c r="M108" s="114"/>
      <c r="N108" s="131">
        <f>L108</f>
        <v>0</v>
      </c>
      <c r="P108" s="111"/>
      <c r="Z108" s="195"/>
    </row>
    <row r="109" spans="1:26" s="170" customFormat="1" ht="12.75" outlineLevel="1" x14ac:dyDescent="0.25">
      <c r="A109" s="178" t="s">
        <v>259</v>
      </c>
      <c r="B109" s="179" t="s">
        <v>111</v>
      </c>
      <c r="C109" s="179"/>
      <c r="D109" s="180" t="s">
        <v>110</v>
      </c>
      <c r="E109" s="181" t="s">
        <v>6</v>
      </c>
      <c r="F109" s="182" t="s">
        <v>59</v>
      </c>
      <c r="G109" s="183"/>
      <c r="H109" s="104">
        <f>H110</f>
        <v>3</v>
      </c>
      <c r="I109" s="143"/>
      <c r="J109" s="105"/>
      <c r="K109" s="184">
        <f>J109</f>
        <v>0</v>
      </c>
      <c r="L109" s="184"/>
      <c r="M109" s="112">
        <f>J109*H109</f>
        <v>0</v>
      </c>
      <c r="N109" s="130">
        <f>M109</f>
        <v>0</v>
      </c>
      <c r="P109" s="185" t="s">
        <v>211</v>
      </c>
      <c r="Z109" s="195"/>
    </row>
    <row r="110" spans="1:26" s="170" customFormat="1" outlineLevel="1" x14ac:dyDescent="0.25">
      <c r="A110" s="187" t="s">
        <v>260</v>
      </c>
      <c r="B110" s="188"/>
      <c r="C110" s="189"/>
      <c r="D110" s="207" t="s">
        <v>112</v>
      </c>
      <c r="E110" s="191" t="s">
        <v>128</v>
      </c>
      <c r="F110" s="192" t="s">
        <v>59</v>
      </c>
      <c r="G110" s="193">
        <v>1</v>
      </c>
      <c r="H110" s="103">
        <v>3</v>
      </c>
      <c r="I110" s="236"/>
      <c r="J110" s="113"/>
      <c r="K110" s="194">
        <f t="shared" ref="K110" si="40">I110</f>
        <v>0</v>
      </c>
      <c r="L110" s="194">
        <f t="shared" ref="L110" si="41">I110*H110</f>
        <v>0</v>
      </c>
      <c r="M110" s="114"/>
      <c r="N110" s="131">
        <f t="shared" ref="N110" si="42">L110</f>
        <v>0</v>
      </c>
      <c r="P110" s="111"/>
      <c r="Z110" s="195"/>
    </row>
    <row r="111" spans="1:26" s="170" customFormat="1" ht="12.75" outlineLevel="1" x14ac:dyDescent="0.25">
      <c r="A111" s="178" t="s">
        <v>261</v>
      </c>
      <c r="B111" s="179" t="s">
        <v>114</v>
      </c>
      <c r="C111" s="179"/>
      <c r="D111" s="180" t="s">
        <v>113</v>
      </c>
      <c r="E111" s="181" t="s">
        <v>6</v>
      </c>
      <c r="F111" s="182" t="s">
        <v>59</v>
      </c>
      <c r="G111" s="183"/>
      <c r="H111" s="104">
        <f>H112</f>
        <v>3</v>
      </c>
      <c r="I111" s="143"/>
      <c r="J111" s="105"/>
      <c r="K111" s="184">
        <f>J111</f>
        <v>0</v>
      </c>
      <c r="L111" s="184"/>
      <c r="M111" s="112">
        <f>J111*H111</f>
        <v>0</v>
      </c>
      <c r="N111" s="130">
        <f>M111</f>
        <v>0</v>
      </c>
      <c r="P111" s="185" t="s">
        <v>211</v>
      </c>
      <c r="Z111" s="195"/>
    </row>
    <row r="112" spans="1:26" s="170" customFormat="1" ht="38.25" outlineLevel="1" x14ac:dyDescent="0.25">
      <c r="A112" s="187" t="s">
        <v>262</v>
      </c>
      <c r="B112" s="188"/>
      <c r="C112" s="189" t="s">
        <v>184</v>
      </c>
      <c r="D112" s="206" t="s">
        <v>115</v>
      </c>
      <c r="E112" s="191" t="s">
        <v>128</v>
      </c>
      <c r="F112" s="192" t="s">
        <v>59</v>
      </c>
      <c r="G112" s="193">
        <v>1</v>
      </c>
      <c r="H112" s="103">
        <v>3</v>
      </c>
      <c r="I112" s="236"/>
      <c r="J112" s="113"/>
      <c r="K112" s="194">
        <f>I112</f>
        <v>0</v>
      </c>
      <c r="L112" s="194">
        <f>I112*H112</f>
        <v>0</v>
      </c>
      <c r="M112" s="114"/>
      <c r="N112" s="131">
        <f>L112</f>
        <v>0</v>
      </c>
      <c r="P112" s="111"/>
      <c r="Z112" s="195"/>
    </row>
    <row r="113" spans="1:26" s="170" customFormat="1" ht="12.75" outlineLevel="1" x14ac:dyDescent="0.25">
      <c r="A113" s="178" t="s">
        <v>263</v>
      </c>
      <c r="B113" s="179" t="s">
        <v>117</v>
      </c>
      <c r="C113" s="179"/>
      <c r="D113" s="180" t="s">
        <v>116</v>
      </c>
      <c r="E113" s="181" t="s">
        <v>6</v>
      </c>
      <c r="F113" s="182" t="s">
        <v>59</v>
      </c>
      <c r="G113" s="183"/>
      <c r="H113" s="104">
        <f>H114</f>
        <v>3</v>
      </c>
      <c r="I113" s="143"/>
      <c r="J113" s="105"/>
      <c r="K113" s="184">
        <f>J113</f>
        <v>0</v>
      </c>
      <c r="L113" s="184"/>
      <c r="M113" s="112">
        <f>J113*H113</f>
        <v>0</v>
      </c>
      <c r="N113" s="130">
        <f>M113</f>
        <v>0</v>
      </c>
      <c r="P113" s="185" t="s">
        <v>211</v>
      </c>
      <c r="Z113" s="195"/>
    </row>
    <row r="114" spans="1:26" s="170" customFormat="1" ht="12.75" outlineLevel="1" x14ac:dyDescent="0.25">
      <c r="A114" s="187" t="s">
        <v>264</v>
      </c>
      <c r="B114" s="188"/>
      <c r="C114" s="189"/>
      <c r="D114" s="206" t="s">
        <v>118</v>
      </c>
      <c r="E114" s="191" t="s">
        <v>128</v>
      </c>
      <c r="F114" s="192" t="s">
        <v>59</v>
      </c>
      <c r="G114" s="193">
        <v>1</v>
      </c>
      <c r="H114" s="103">
        <v>3</v>
      </c>
      <c r="I114" s="236"/>
      <c r="J114" s="113"/>
      <c r="K114" s="194">
        <f>I114</f>
        <v>0</v>
      </c>
      <c r="L114" s="194">
        <f>I114*H114</f>
        <v>0</v>
      </c>
      <c r="M114" s="114"/>
      <c r="N114" s="131">
        <f>L114</f>
        <v>0</v>
      </c>
      <c r="P114" s="132"/>
      <c r="Z114" s="195"/>
    </row>
    <row r="115" spans="1:26" s="170" customFormat="1" ht="12.75" outlineLevel="1" x14ac:dyDescent="0.25">
      <c r="A115" s="178" t="s">
        <v>265</v>
      </c>
      <c r="B115" s="179" t="s">
        <v>119</v>
      </c>
      <c r="C115" s="179"/>
      <c r="D115" s="180" t="s">
        <v>120</v>
      </c>
      <c r="E115" s="181" t="s">
        <v>6</v>
      </c>
      <c r="F115" s="182" t="s">
        <v>59</v>
      </c>
      <c r="G115" s="183"/>
      <c r="H115" s="104">
        <f>H116</f>
        <v>3</v>
      </c>
      <c r="I115" s="143"/>
      <c r="J115" s="105"/>
      <c r="K115" s="184">
        <f>J115</f>
        <v>0</v>
      </c>
      <c r="L115" s="184"/>
      <c r="M115" s="112">
        <f>J115*H115</f>
        <v>0</v>
      </c>
      <c r="N115" s="130">
        <f>M115</f>
        <v>0</v>
      </c>
      <c r="P115" s="185" t="s">
        <v>211</v>
      </c>
      <c r="Z115" s="195"/>
    </row>
    <row r="116" spans="1:26" s="170" customFormat="1" ht="12.75" outlineLevel="1" x14ac:dyDescent="0.25">
      <c r="A116" s="187" t="s">
        <v>266</v>
      </c>
      <c r="B116" s="188"/>
      <c r="C116" s="189"/>
      <c r="D116" s="206" t="s">
        <v>121</v>
      </c>
      <c r="E116" s="191" t="s">
        <v>128</v>
      </c>
      <c r="F116" s="192" t="s">
        <v>59</v>
      </c>
      <c r="G116" s="193">
        <v>1</v>
      </c>
      <c r="H116" s="103">
        <v>3</v>
      </c>
      <c r="I116" s="236"/>
      <c r="J116" s="113"/>
      <c r="K116" s="194">
        <f>I116</f>
        <v>0</v>
      </c>
      <c r="L116" s="194">
        <f>I116*H116</f>
        <v>0</v>
      </c>
      <c r="M116" s="114"/>
      <c r="N116" s="131">
        <f>L116</f>
        <v>0</v>
      </c>
      <c r="P116" s="132"/>
      <c r="Z116" s="195"/>
    </row>
    <row r="117" spans="1:26" s="170" customFormat="1" ht="76.5" outlineLevel="1" x14ac:dyDescent="0.25">
      <c r="A117" s="178" t="s">
        <v>267</v>
      </c>
      <c r="B117" s="179" t="s">
        <v>122</v>
      </c>
      <c r="C117" s="179"/>
      <c r="D117" s="180" t="s">
        <v>202</v>
      </c>
      <c r="E117" s="181" t="s">
        <v>6</v>
      </c>
      <c r="F117" s="182" t="s">
        <v>124</v>
      </c>
      <c r="G117" s="183"/>
      <c r="H117" s="104">
        <f>49+44</f>
        <v>93</v>
      </c>
      <c r="I117" s="143"/>
      <c r="J117" s="105"/>
      <c r="K117" s="184">
        <f>J117</f>
        <v>0</v>
      </c>
      <c r="L117" s="184"/>
      <c r="M117" s="112">
        <f>J117*H117</f>
        <v>0</v>
      </c>
      <c r="N117" s="130">
        <f>M117</f>
        <v>0</v>
      </c>
      <c r="P117" s="201" t="s">
        <v>201</v>
      </c>
      <c r="Z117" s="195"/>
    </row>
    <row r="118" spans="1:26" s="170" customFormat="1" ht="38.25" outlineLevel="1" x14ac:dyDescent="0.25">
      <c r="A118" s="218" t="s">
        <v>268</v>
      </c>
      <c r="B118" s="202"/>
      <c r="C118" s="203"/>
      <c r="D118" s="219" t="s">
        <v>123</v>
      </c>
      <c r="E118" s="191" t="s">
        <v>128</v>
      </c>
      <c r="F118" s="212" t="s">
        <v>124</v>
      </c>
      <c r="G118" s="193">
        <v>1.03</v>
      </c>
      <c r="H118" s="103">
        <f>ROUND((49+44)*G118,0)</f>
        <v>96</v>
      </c>
      <c r="I118" s="236"/>
      <c r="J118" s="133"/>
      <c r="K118" s="194">
        <f>I118</f>
        <v>0</v>
      </c>
      <c r="L118" s="194">
        <f>I118*H118</f>
        <v>0</v>
      </c>
      <c r="M118" s="114"/>
      <c r="N118" s="131">
        <f>L118</f>
        <v>0</v>
      </c>
      <c r="P118" s="132"/>
      <c r="Z118" s="195"/>
    </row>
    <row r="119" spans="1:26" s="170" customFormat="1" ht="76.5" outlineLevel="1" x14ac:dyDescent="0.25">
      <c r="A119" s="178" t="s">
        <v>269</v>
      </c>
      <c r="B119" s="179" t="s">
        <v>122</v>
      </c>
      <c r="C119" s="179"/>
      <c r="D119" s="180" t="s">
        <v>213</v>
      </c>
      <c r="E119" s="181" t="s">
        <v>6</v>
      </c>
      <c r="F119" s="182" t="s">
        <v>124</v>
      </c>
      <c r="G119" s="183"/>
      <c r="H119" s="104">
        <f>11+19+12+24+11+22+9+19</f>
        <v>127</v>
      </c>
      <c r="I119" s="143"/>
      <c r="J119" s="105"/>
      <c r="K119" s="184">
        <f>J119</f>
        <v>0</v>
      </c>
      <c r="L119" s="184"/>
      <c r="M119" s="112">
        <f>J119*H119</f>
        <v>0</v>
      </c>
      <c r="N119" s="130">
        <f>M119</f>
        <v>0</v>
      </c>
      <c r="P119" s="201" t="s">
        <v>201</v>
      </c>
      <c r="Z119" s="195"/>
    </row>
    <row r="120" spans="1:26" s="170" customFormat="1" ht="38.25" outlineLevel="1" x14ac:dyDescent="0.25">
      <c r="A120" s="218" t="s">
        <v>270</v>
      </c>
      <c r="B120" s="202"/>
      <c r="C120" s="203"/>
      <c r="D120" s="219" t="s">
        <v>123</v>
      </c>
      <c r="E120" s="191" t="s">
        <v>128</v>
      </c>
      <c r="F120" s="212" t="s">
        <v>124</v>
      </c>
      <c r="G120" s="193">
        <v>1.03</v>
      </c>
      <c r="H120" s="103">
        <f>ROUND((11+19+11+22+9+19)*G120,0)</f>
        <v>94</v>
      </c>
      <c r="I120" s="236"/>
      <c r="J120" s="133"/>
      <c r="K120" s="194">
        <f>I120</f>
        <v>0</v>
      </c>
      <c r="L120" s="194">
        <f>I120*H120</f>
        <v>0</v>
      </c>
      <c r="M120" s="114"/>
      <c r="N120" s="131">
        <f>L120</f>
        <v>0</v>
      </c>
      <c r="P120" s="132"/>
      <c r="Z120" s="195"/>
    </row>
    <row r="121" spans="1:26" s="170" customFormat="1" ht="38.25" outlineLevel="1" x14ac:dyDescent="0.25">
      <c r="A121" s="218" t="s">
        <v>271</v>
      </c>
      <c r="B121" s="202"/>
      <c r="C121" s="203"/>
      <c r="D121" s="219" t="s">
        <v>137</v>
      </c>
      <c r="E121" s="191" t="s">
        <v>128</v>
      </c>
      <c r="F121" s="212" t="s">
        <v>124</v>
      </c>
      <c r="G121" s="193">
        <v>1.03</v>
      </c>
      <c r="H121" s="103">
        <f>ROUND((12+24)*G121,0)</f>
        <v>37</v>
      </c>
      <c r="I121" s="236"/>
      <c r="J121" s="133"/>
      <c r="K121" s="194">
        <f t="shared" ref="K121:K122" si="43">I121</f>
        <v>0</v>
      </c>
      <c r="L121" s="194">
        <f t="shared" ref="L121:L122" si="44">I121*H121</f>
        <v>0</v>
      </c>
      <c r="M121" s="114"/>
      <c r="N121" s="131">
        <f t="shared" ref="N121:N122" si="45">L121</f>
        <v>0</v>
      </c>
      <c r="P121" s="132"/>
      <c r="Z121" s="195"/>
    </row>
    <row r="122" spans="1:26" s="170" customFormat="1" ht="12.75" outlineLevel="1" x14ac:dyDescent="0.25">
      <c r="A122" s="218" t="s">
        <v>272</v>
      </c>
      <c r="B122" s="202"/>
      <c r="C122" s="203"/>
      <c r="D122" s="219" t="s">
        <v>125</v>
      </c>
      <c r="E122" s="191" t="s">
        <v>128</v>
      </c>
      <c r="F122" s="212" t="s">
        <v>124</v>
      </c>
      <c r="G122" s="193">
        <v>1.1000000000000001</v>
      </c>
      <c r="H122" s="103">
        <f>ROUND(127*G122,0)</f>
        <v>140</v>
      </c>
      <c r="I122" s="236"/>
      <c r="J122" s="133"/>
      <c r="K122" s="194">
        <f t="shared" si="43"/>
        <v>0</v>
      </c>
      <c r="L122" s="194">
        <f t="shared" si="44"/>
        <v>0</v>
      </c>
      <c r="M122" s="114"/>
      <c r="N122" s="131">
        <f t="shared" si="45"/>
        <v>0</v>
      </c>
      <c r="P122" s="132"/>
      <c r="Z122" s="195"/>
    </row>
    <row r="123" spans="1:26" s="170" customFormat="1" ht="76.5" outlineLevel="1" x14ac:dyDescent="0.25">
      <c r="A123" s="178" t="s">
        <v>273</v>
      </c>
      <c r="B123" s="179" t="s">
        <v>122</v>
      </c>
      <c r="C123" s="179"/>
      <c r="D123" s="180" t="s">
        <v>206</v>
      </c>
      <c r="E123" s="181" t="s">
        <v>6</v>
      </c>
      <c r="F123" s="182" t="s">
        <v>124</v>
      </c>
      <c r="G123" s="183"/>
      <c r="H123" s="104">
        <v>6</v>
      </c>
      <c r="I123" s="143"/>
      <c r="J123" s="105"/>
      <c r="K123" s="184">
        <f>J123</f>
        <v>0</v>
      </c>
      <c r="L123" s="184"/>
      <c r="M123" s="112">
        <f>J123*H123</f>
        <v>0</v>
      </c>
      <c r="N123" s="130">
        <f>M123</f>
        <v>0</v>
      </c>
      <c r="P123" s="201" t="s">
        <v>201</v>
      </c>
      <c r="Z123" s="195"/>
    </row>
    <row r="124" spans="1:26" s="170" customFormat="1" ht="38.25" outlineLevel="1" x14ac:dyDescent="0.25">
      <c r="A124" s="218" t="s">
        <v>274</v>
      </c>
      <c r="B124" s="202"/>
      <c r="C124" s="203"/>
      <c r="D124" s="219" t="s">
        <v>123</v>
      </c>
      <c r="E124" s="191" t="s">
        <v>128</v>
      </c>
      <c r="F124" s="212" t="s">
        <v>124</v>
      </c>
      <c r="G124" s="193">
        <v>1.03</v>
      </c>
      <c r="H124" s="103">
        <f>ROUND((6)*G124,0)</f>
        <v>6</v>
      </c>
      <c r="I124" s="236"/>
      <c r="J124" s="133"/>
      <c r="K124" s="194">
        <f>I124</f>
        <v>0</v>
      </c>
      <c r="L124" s="194">
        <f>I124*H124</f>
        <v>0</v>
      </c>
      <c r="M124" s="114"/>
      <c r="N124" s="131">
        <f>L124</f>
        <v>0</v>
      </c>
      <c r="P124" s="267"/>
      <c r="Z124" s="195"/>
    </row>
    <row r="125" spans="1:26" s="170" customFormat="1" ht="12.75" x14ac:dyDescent="0.25">
      <c r="A125" s="171">
        <v>6</v>
      </c>
      <c r="B125" s="172"/>
      <c r="C125" s="172"/>
      <c r="D125" s="173" t="s">
        <v>190</v>
      </c>
      <c r="E125" s="125"/>
      <c r="F125" s="174"/>
      <c r="G125" s="175"/>
      <c r="H125" s="128"/>
      <c r="I125" s="240"/>
      <c r="J125" s="126"/>
      <c r="K125" s="176"/>
      <c r="L125" s="176"/>
      <c r="M125" s="127"/>
      <c r="N125" s="129"/>
      <c r="P125" s="132"/>
      <c r="Z125" s="195"/>
    </row>
    <row r="126" spans="1:26" s="170" customFormat="1" ht="25.5" outlineLevel="1" x14ac:dyDescent="0.25">
      <c r="A126" s="178" t="s">
        <v>275</v>
      </c>
      <c r="B126" s="179" t="s">
        <v>187</v>
      </c>
      <c r="C126" s="179"/>
      <c r="D126" s="180" t="s">
        <v>189</v>
      </c>
      <c r="E126" s="181" t="s">
        <v>6</v>
      </c>
      <c r="F126" s="182" t="s">
        <v>124</v>
      </c>
      <c r="G126" s="183"/>
      <c r="H126" s="104">
        <v>32</v>
      </c>
      <c r="I126" s="143"/>
      <c r="J126" s="105"/>
      <c r="K126" s="184">
        <f>J126</f>
        <v>0</v>
      </c>
      <c r="L126" s="184"/>
      <c r="M126" s="112">
        <f>J126*H126</f>
        <v>0</v>
      </c>
      <c r="N126" s="130">
        <f>M126</f>
        <v>0</v>
      </c>
      <c r="P126" s="185" t="s">
        <v>211</v>
      </c>
      <c r="Z126" s="195"/>
    </row>
    <row r="127" spans="1:26" s="170" customFormat="1" ht="25.5" outlineLevel="1" x14ac:dyDescent="0.25">
      <c r="A127" s="218" t="s">
        <v>276</v>
      </c>
      <c r="B127" s="202"/>
      <c r="C127" s="203"/>
      <c r="D127" s="219" t="s">
        <v>188</v>
      </c>
      <c r="E127" s="191" t="s">
        <v>128</v>
      </c>
      <c r="F127" s="212" t="s">
        <v>124</v>
      </c>
      <c r="G127" s="193">
        <v>1</v>
      </c>
      <c r="H127" s="103">
        <v>32</v>
      </c>
      <c r="I127" s="236"/>
      <c r="J127" s="133"/>
      <c r="K127" s="194">
        <f>I127</f>
        <v>0</v>
      </c>
      <c r="L127" s="194">
        <f>I127*H127</f>
        <v>0</v>
      </c>
      <c r="M127" s="114"/>
      <c r="N127" s="131">
        <f>L127</f>
        <v>0</v>
      </c>
      <c r="P127" s="132"/>
      <c r="Z127" s="195"/>
    </row>
    <row r="128" spans="1:26" s="170" customFormat="1" ht="12.75" outlineLevel="1" x14ac:dyDescent="0.25">
      <c r="A128" s="218" t="s">
        <v>277</v>
      </c>
      <c r="B128" s="202"/>
      <c r="C128" s="203"/>
      <c r="D128" s="219" t="s">
        <v>193</v>
      </c>
      <c r="E128" s="191" t="s">
        <v>128</v>
      </c>
      <c r="F128" s="212" t="s">
        <v>59</v>
      </c>
      <c r="G128" s="193">
        <v>1</v>
      </c>
      <c r="H128" s="103">
        <f>ROUNDUP($H$127/2,0)</f>
        <v>16</v>
      </c>
      <c r="I128" s="236"/>
      <c r="J128" s="133"/>
      <c r="K128" s="194">
        <f>I128</f>
        <v>0</v>
      </c>
      <c r="L128" s="194">
        <f>I128*H128</f>
        <v>0</v>
      </c>
      <c r="M128" s="114"/>
      <c r="N128" s="131">
        <f>L128</f>
        <v>0</v>
      </c>
      <c r="P128" s="132"/>
      <c r="Z128" s="195"/>
    </row>
    <row r="129" spans="1:26" s="170" customFormat="1" ht="12.75" outlineLevel="1" x14ac:dyDescent="0.25">
      <c r="A129" s="218" t="s">
        <v>278</v>
      </c>
      <c r="B129" s="202"/>
      <c r="C129" s="203"/>
      <c r="D129" s="219" t="s">
        <v>196</v>
      </c>
      <c r="E129" s="191" t="s">
        <v>128</v>
      </c>
      <c r="F129" s="212" t="s">
        <v>59</v>
      </c>
      <c r="G129" s="193">
        <v>1</v>
      </c>
      <c r="H129" s="103">
        <f t="shared" ref="H129:H131" si="46">ROUNDUP($H$127/2,0)</f>
        <v>16</v>
      </c>
      <c r="I129" s="236"/>
      <c r="J129" s="133"/>
      <c r="K129" s="194">
        <f>I129</f>
        <v>0</v>
      </c>
      <c r="L129" s="194">
        <f>I129*H129</f>
        <v>0</v>
      </c>
      <c r="M129" s="114"/>
      <c r="N129" s="131">
        <f>L129</f>
        <v>0</v>
      </c>
      <c r="P129" s="132"/>
      <c r="Z129" s="195"/>
    </row>
    <row r="130" spans="1:26" s="170" customFormat="1" ht="12.75" outlineLevel="1" x14ac:dyDescent="0.25">
      <c r="A130" s="218" t="s">
        <v>300</v>
      </c>
      <c r="B130" s="202"/>
      <c r="C130" s="203"/>
      <c r="D130" s="219" t="s">
        <v>195</v>
      </c>
      <c r="E130" s="191" t="s">
        <v>128</v>
      </c>
      <c r="F130" s="212" t="s">
        <v>59</v>
      </c>
      <c r="G130" s="193">
        <v>1</v>
      </c>
      <c r="H130" s="103">
        <f t="shared" si="46"/>
        <v>16</v>
      </c>
      <c r="I130" s="236"/>
      <c r="J130" s="133"/>
      <c r="K130" s="194">
        <f>I130</f>
        <v>0</v>
      </c>
      <c r="L130" s="194">
        <f>I130*H130</f>
        <v>0</v>
      </c>
      <c r="M130" s="114"/>
      <c r="N130" s="131">
        <f>L130</f>
        <v>0</v>
      </c>
      <c r="P130" s="132"/>
      <c r="Z130" s="195"/>
    </row>
    <row r="131" spans="1:26" s="170" customFormat="1" ht="12.75" outlineLevel="1" x14ac:dyDescent="0.25">
      <c r="A131" s="218" t="s">
        <v>301</v>
      </c>
      <c r="B131" s="202"/>
      <c r="C131" s="203"/>
      <c r="D131" s="219" t="s">
        <v>194</v>
      </c>
      <c r="E131" s="191" t="s">
        <v>128</v>
      </c>
      <c r="F131" s="212" t="s">
        <v>59</v>
      </c>
      <c r="G131" s="193">
        <v>1</v>
      </c>
      <c r="H131" s="103">
        <f t="shared" si="46"/>
        <v>16</v>
      </c>
      <c r="I131" s="236"/>
      <c r="J131" s="133"/>
      <c r="K131" s="194">
        <f>I131</f>
        <v>0</v>
      </c>
      <c r="L131" s="194">
        <f>I131*H131</f>
        <v>0</v>
      </c>
      <c r="M131" s="114"/>
      <c r="N131" s="131">
        <f>L131</f>
        <v>0</v>
      </c>
      <c r="P131" s="132"/>
      <c r="Z131" s="195"/>
    </row>
    <row r="132" spans="1:26" s="170" customFormat="1" x14ac:dyDescent="0.25">
      <c r="A132" s="220"/>
      <c r="B132" s="221"/>
      <c r="C132" s="115"/>
      <c r="D132" s="273" t="s">
        <v>297</v>
      </c>
      <c r="E132" s="107"/>
      <c r="F132" s="107"/>
      <c r="G132" s="107"/>
      <c r="H132" s="108"/>
      <c r="I132" s="274"/>
      <c r="J132" s="275"/>
      <c r="K132" s="110"/>
      <c r="L132" s="119"/>
      <c r="M132" s="119"/>
      <c r="N132" s="119"/>
      <c r="P132" s="132"/>
      <c r="Z132" s="195"/>
    </row>
    <row r="133" spans="1:26" s="170" customFormat="1" ht="12.75" x14ac:dyDescent="0.25">
      <c r="A133" s="171">
        <v>7</v>
      </c>
      <c r="B133" s="172"/>
      <c r="C133" s="172"/>
      <c r="D133" s="173" t="s">
        <v>102</v>
      </c>
      <c r="E133" s="125"/>
      <c r="F133" s="174"/>
      <c r="G133" s="175"/>
      <c r="H133" s="128"/>
      <c r="I133" s="240"/>
      <c r="J133" s="126"/>
      <c r="K133" s="176"/>
      <c r="L133" s="176"/>
      <c r="M133" s="127"/>
      <c r="N133" s="129"/>
      <c r="P133" s="132"/>
    </row>
    <row r="134" spans="1:26" s="170" customFormat="1" ht="25.5" outlineLevel="1" x14ac:dyDescent="0.25">
      <c r="A134" s="178" t="s">
        <v>279</v>
      </c>
      <c r="B134" s="179" t="s">
        <v>129</v>
      </c>
      <c r="C134" s="179"/>
      <c r="D134" s="180" t="s">
        <v>126</v>
      </c>
      <c r="E134" s="181" t="s">
        <v>6</v>
      </c>
      <c r="F134" s="182" t="s">
        <v>127</v>
      </c>
      <c r="G134" s="183"/>
      <c r="H134" s="104">
        <v>2</v>
      </c>
      <c r="I134" s="143"/>
      <c r="J134" s="105"/>
      <c r="K134" s="184">
        <f>J134</f>
        <v>0</v>
      </c>
      <c r="L134" s="184"/>
      <c r="M134" s="112">
        <f>J134*H134</f>
        <v>0</v>
      </c>
      <c r="N134" s="130">
        <f>M134</f>
        <v>0</v>
      </c>
      <c r="P134" s="185" t="s">
        <v>211</v>
      </c>
      <c r="U134" s="186"/>
    </row>
    <row r="135" spans="1:26" s="170" customFormat="1" outlineLevel="1" x14ac:dyDescent="0.25">
      <c r="A135" s="187" t="s">
        <v>302</v>
      </c>
      <c r="B135" s="188"/>
      <c r="C135" s="189"/>
      <c r="D135" s="190" t="s">
        <v>109</v>
      </c>
      <c r="E135" s="191" t="s">
        <v>128</v>
      </c>
      <c r="F135" s="192" t="s">
        <v>59</v>
      </c>
      <c r="G135" s="193">
        <v>1</v>
      </c>
      <c r="H135" s="103">
        <v>2</v>
      </c>
      <c r="I135" s="236"/>
      <c r="J135" s="106"/>
      <c r="K135" s="194">
        <f>I135</f>
        <v>0</v>
      </c>
      <c r="L135" s="194">
        <f>I135*H135</f>
        <v>0</v>
      </c>
      <c r="M135" s="114"/>
      <c r="N135" s="131">
        <f>L135</f>
        <v>0</v>
      </c>
      <c r="P135" s="132"/>
      <c r="Z135" s="195"/>
    </row>
    <row r="136" spans="1:26" s="170" customFormat="1" outlineLevel="1" x14ac:dyDescent="0.25">
      <c r="A136" s="187" t="s">
        <v>303</v>
      </c>
      <c r="B136" s="188"/>
      <c r="C136" s="189"/>
      <c r="D136" s="190" t="s">
        <v>112</v>
      </c>
      <c r="E136" s="191" t="s">
        <v>128</v>
      </c>
      <c r="F136" s="192" t="s">
        <v>59</v>
      </c>
      <c r="G136" s="193">
        <v>1</v>
      </c>
      <c r="H136" s="103">
        <v>2</v>
      </c>
      <c r="I136" s="236"/>
      <c r="J136" s="113"/>
      <c r="K136" s="194">
        <f>I136</f>
        <v>0</v>
      </c>
      <c r="L136" s="194">
        <f>I136*H136</f>
        <v>0</v>
      </c>
      <c r="M136" s="114"/>
      <c r="N136" s="131">
        <f>L136</f>
        <v>0</v>
      </c>
      <c r="P136" s="132"/>
      <c r="Z136" s="195"/>
    </row>
    <row r="137" spans="1:26" s="170" customFormat="1" ht="12.75" outlineLevel="1" x14ac:dyDescent="0.25">
      <c r="A137" s="178" t="s">
        <v>304</v>
      </c>
      <c r="B137" s="179"/>
      <c r="C137" s="179"/>
      <c r="D137" s="180" t="s">
        <v>153</v>
      </c>
      <c r="E137" s="181" t="s">
        <v>6</v>
      </c>
      <c r="F137" s="182" t="s">
        <v>59</v>
      </c>
      <c r="G137" s="183"/>
      <c r="H137" s="104">
        <f>H139</f>
        <v>2</v>
      </c>
      <c r="I137" s="143"/>
      <c r="J137" s="237"/>
      <c r="K137" s="184">
        <f>J137</f>
        <v>0</v>
      </c>
      <c r="L137" s="184"/>
      <c r="M137" s="112">
        <f>J137*H137</f>
        <v>0</v>
      </c>
      <c r="N137" s="130">
        <f>M137</f>
        <v>0</v>
      </c>
      <c r="P137" s="185" t="s">
        <v>211</v>
      </c>
      <c r="Z137" s="195"/>
    </row>
    <row r="138" spans="1:26" s="170" customFormat="1" ht="15" customHeight="1" outlineLevel="1" x14ac:dyDescent="0.25">
      <c r="A138" s="196" t="s">
        <v>305</v>
      </c>
      <c r="B138" s="197"/>
      <c r="C138" s="197"/>
      <c r="D138" s="198" t="s">
        <v>149</v>
      </c>
      <c r="E138" s="191" t="s">
        <v>128</v>
      </c>
      <c r="F138" s="199" t="s">
        <v>59</v>
      </c>
      <c r="G138" s="200">
        <v>1</v>
      </c>
      <c r="H138" s="138">
        <v>2</v>
      </c>
      <c r="I138" s="238"/>
      <c r="J138" s="239"/>
      <c r="K138" s="194">
        <f t="shared" ref="K138:K141" si="47">I138</f>
        <v>0</v>
      </c>
      <c r="L138" s="194">
        <f t="shared" ref="L138:L145" si="48">I138*H138</f>
        <v>0</v>
      </c>
      <c r="M138" s="114"/>
      <c r="N138" s="131">
        <f t="shared" ref="N138:N145" si="49">L138</f>
        <v>0</v>
      </c>
      <c r="P138" s="137"/>
      <c r="Z138" s="195"/>
    </row>
    <row r="139" spans="1:26" s="170" customFormat="1" outlineLevel="1" x14ac:dyDescent="0.25">
      <c r="A139" s="187" t="s">
        <v>306</v>
      </c>
      <c r="B139" s="188"/>
      <c r="C139" s="189"/>
      <c r="D139" s="198" t="s">
        <v>130</v>
      </c>
      <c r="E139" s="191" t="s">
        <v>128</v>
      </c>
      <c r="F139" s="192" t="s">
        <v>59</v>
      </c>
      <c r="G139" s="193">
        <v>1</v>
      </c>
      <c r="H139" s="103">
        <v>2</v>
      </c>
      <c r="I139" s="236"/>
      <c r="J139" s="113"/>
      <c r="K139" s="194">
        <f t="shared" si="47"/>
        <v>0</v>
      </c>
      <c r="L139" s="194">
        <f t="shared" si="48"/>
        <v>0</v>
      </c>
      <c r="M139" s="114"/>
      <c r="N139" s="131">
        <f t="shared" si="49"/>
        <v>0</v>
      </c>
      <c r="P139" s="132"/>
      <c r="Z139" s="195"/>
    </row>
    <row r="140" spans="1:26" s="170" customFormat="1" outlineLevel="1" x14ac:dyDescent="0.25">
      <c r="A140" s="196" t="s">
        <v>307</v>
      </c>
      <c r="B140" s="202"/>
      <c r="C140" s="203"/>
      <c r="D140" s="198" t="s">
        <v>151</v>
      </c>
      <c r="E140" s="191" t="s">
        <v>128</v>
      </c>
      <c r="F140" s="192" t="s">
        <v>59</v>
      </c>
      <c r="G140" s="193">
        <v>1</v>
      </c>
      <c r="H140" s="103">
        <v>2</v>
      </c>
      <c r="I140" s="236"/>
      <c r="J140" s="133"/>
      <c r="K140" s="194">
        <f t="shared" si="47"/>
        <v>0</v>
      </c>
      <c r="L140" s="204">
        <f t="shared" si="48"/>
        <v>0</v>
      </c>
      <c r="M140" s="134"/>
      <c r="N140" s="136">
        <f t="shared" si="49"/>
        <v>0</v>
      </c>
      <c r="P140" s="132"/>
      <c r="Z140" s="195"/>
    </row>
    <row r="141" spans="1:26" s="170" customFormat="1" ht="30" outlineLevel="1" x14ac:dyDescent="0.25">
      <c r="A141" s="187" t="s">
        <v>308</v>
      </c>
      <c r="B141" s="202"/>
      <c r="C141" s="203"/>
      <c r="D141" s="198" t="s">
        <v>150</v>
      </c>
      <c r="E141" s="191" t="s">
        <v>128</v>
      </c>
      <c r="F141" s="192" t="s">
        <v>59</v>
      </c>
      <c r="G141" s="193">
        <v>1</v>
      </c>
      <c r="H141" s="103">
        <v>2</v>
      </c>
      <c r="I141" s="236"/>
      <c r="J141" s="133"/>
      <c r="K141" s="194">
        <f t="shared" si="47"/>
        <v>0</v>
      </c>
      <c r="L141" s="204">
        <f t="shared" si="48"/>
        <v>0</v>
      </c>
      <c r="M141" s="134"/>
      <c r="N141" s="136">
        <f t="shared" si="49"/>
        <v>0</v>
      </c>
      <c r="P141" s="132"/>
      <c r="Z141" s="195"/>
    </row>
    <row r="142" spans="1:26" s="170" customFormat="1" ht="12.75" outlineLevel="1" x14ac:dyDescent="0.25">
      <c r="A142" s="178" t="s">
        <v>309</v>
      </c>
      <c r="B142" s="179" t="s">
        <v>117</v>
      </c>
      <c r="C142" s="179"/>
      <c r="D142" s="180" t="s">
        <v>116</v>
      </c>
      <c r="E142" s="181" t="s">
        <v>6</v>
      </c>
      <c r="F142" s="182" t="s">
        <v>59</v>
      </c>
      <c r="G142" s="183"/>
      <c r="H142" s="104">
        <f>H143</f>
        <v>2</v>
      </c>
      <c r="I142" s="143"/>
      <c r="J142" s="105"/>
      <c r="K142" s="184">
        <f>J142</f>
        <v>0</v>
      </c>
      <c r="L142" s="184"/>
      <c r="M142" s="112">
        <f>J142*H142</f>
        <v>0</v>
      </c>
      <c r="N142" s="130">
        <f>M142</f>
        <v>0</v>
      </c>
      <c r="P142" s="185" t="s">
        <v>211</v>
      </c>
      <c r="Z142" s="195"/>
    </row>
    <row r="143" spans="1:26" s="170" customFormat="1" ht="12.75" outlineLevel="1" x14ac:dyDescent="0.25">
      <c r="A143" s="187" t="s">
        <v>310</v>
      </c>
      <c r="B143" s="188"/>
      <c r="C143" s="189"/>
      <c r="D143" s="206" t="s">
        <v>118</v>
      </c>
      <c r="E143" s="191" t="s">
        <v>128</v>
      </c>
      <c r="F143" s="192" t="s">
        <v>59</v>
      </c>
      <c r="G143" s="193">
        <v>1</v>
      </c>
      <c r="H143" s="103">
        <v>2</v>
      </c>
      <c r="I143" s="236"/>
      <c r="J143" s="113"/>
      <c r="K143" s="194">
        <f>I143</f>
        <v>0</v>
      </c>
      <c r="L143" s="194">
        <f>I143*H143</f>
        <v>0</v>
      </c>
      <c r="M143" s="114"/>
      <c r="N143" s="131">
        <f>L143</f>
        <v>0</v>
      </c>
      <c r="P143" s="132"/>
      <c r="Z143" s="195"/>
    </row>
    <row r="144" spans="1:26" s="170" customFormat="1" ht="12.75" outlineLevel="1" x14ac:dyDescent="0.25">
      <c r="A144" s="178" t="s">
        <v>311</v>
      </c>
      <c r="B144" s="179" t="s">
        <v>132</v>
      </c>
      <c r="C144" s="179"/>
      <c r="D144" s="180" t="s">
        <v>131</v>
      </c>
      <c r="E144" s="181" t="s">
        <v>6</v>
      </c>
      <c r="F144" s="182" t="s">
        <v>59</v>
      </c>
      <c r="G144" s="183"/>
      <c r="H144" s="104">
        <v>1</v>
      </c>
      <c r="I144" s="143"/>
      <c r="J144" s="237"/>
      <c r="K144" s="184">
        <f>J144</f>
        <v>0</v>
      </c>
      <c r="L144" s="184"/>
      <c r="M144" s="112">
        <f>J144*H144</f>
        <v>0</v>
      </c>
      <c r="N144" s="130">
        <f>M144</f>
        <v>0</v>
      </c>
      <c r="P144" s="185" t="s">
        <v>211</v>
      </c>
      <c r="Z144" s="195"/>
    </row>
    <row r="145" spans="1:26" s="170" customFormat="1" ht="30" outlineLevel="1" x14ac:dyDescent="0.25">
      <c r="A145" s="187" t="s">
        <v>312</v>
      </c>
      <c r="B145" s="188"/>
      <c r="C145" s="189" t="s">
        <v>186</v>
      </c>
      <c r="D145" s="207" t="s">
        <v>222</v>
      </c>
      <c r="E145" s="191" t="s">
        <v>128</v>
      </c>
      <c r="F145" s="192" t="s">
        <v>141</v>
      </c>
      <c r="G145" s="193">
        <v>1</v>
      </c>
      <c r="H145" s="103">
        <v>1</v>
      </c>
      <c r="I145" s="236"/>
      <c r="J145" s="113"/>
      <c r="K145" s="194">
        <f>I145</f>
        <v>0</v>
      </c>
      <c r="L145" s="194">
        <f t="shared" si="48"/>
        <v>0</v>
      </c>
      <c r="M145" s="114"/>
      <c r="N145" s="131">
        <f t="shared" si="49"/>
        <v>0</v>
      </c>
      <c r="P145" s="132"/>
      <c r="Z145" s="195"/>
    </row>
    <row r="146" spans="1:26" s="170" customFormat="1" outlineLevel="1" x14ac:dyDescent="0.25">
      <c r="A146" s="187" t="s">
        <v>313</v>
      </c>
      <c r="B146" s="188"/>
      <c r="C146" s="189"/>
      <c r="D146" s="198" t="s">
        <v>133</v>
      </c>
      <c r="E146" s="191" t="s">
        <v>128</v>
      </c>
      <c r="F146" s="192" t="s">
        <v>59</v>
      </c>
      <c r="G146" s="193">
        <v>1</v>
      </c>
      <c r="H146" s="103">
        <f>1</f>
        <v>1</v>
      </c>
      <c r="I146" s="135"/>
      <c r="J146" s="194"/>
      <c r="K146" s="194"/>
      <c r="L146" s="194"/>
      <c r="M146" s="114"/>
      <c r="N146" s="131"/>
      <c r="P146" s="132"/>
      <c r="Z146" s="195"/>
    </row>
    <row r="147" spans="1:26" s="170" customFormat="1" outlineLevel="1" x14ac:dyDescent="0.25">
      <c r="A147" s="187" t="s">
        <v>314</v>
      </c>
      <c r="B147" s="202"/>
      <c r="C147" s="203"/>
      <c r="D147" s="208" t="s">
        <v>142</v>
      </c>
      <c r="E147" s="191" t="s">
        <v>128</v>
      </c>
      <c r="F147" s="192" t="s">
        <v>59</v>
      </c>
      <c r="G147" s="193">
        <v>1</v>
      </c>
      <c r="H147" s="103">
        <f>2</f>
        <v>2</v>
      </c>
      <c r="I147" s="135"/>
      <c r="J147" s="204"/>
      <c r="K147" s="194"/>
      <c r="L147" s="194"/>
      <c r="M147" s="114"/>
      <c r="N147" s="131"/>
      <c r="P147" s="132"/>
      <c r="Z147" s="195"/>
    </row>
    <row r="148" spans="1:26" s="170" customFormat="1" outlineLevel="1" x14ac:dyDescent="0.25">
      <c r="A148" s="187" t="s">
        <v>315</v>
      </c>
      <c r="B148" s="202"/>
      <c r="C148" s="203"/>
      <c r="D148" s="208" t="s">
        <v>143</v>
      </c>
      <c r="E148" s="191" t="s">
        <v>128</v>
      </c>
      <c r="F148" s="192" t="s">
        <v>59</v>
      </c>
      <c r="G148" s="193">
        <v>1</v>
      </c>
      <c r="H148" s="103">
        <f>1</f>
        <v>1</v>
      </c>
      <c r="I148" s="135"/>
      <c r="J148" s="204"/>
      <c r="K148" s="194"/>
      <c r="L148" s="194"/>
      <c r="M148" s="114"/>
      <c r="N148" s="131"/>
      <c r="P148" s="132"/>
      <c r="Z148" s="195"/>
    </row>
    <row r="149" spans="1:26" s="170" customFormat="1" ht="15.75" customHeight="1" outlineLevel="1" x14ac:dyDescent="0.25">
      <c r="A149" s="187" t="s">
        <v>316</v>
      </c>
      <c r="B149" s="202"/>
      <c r="C149" s="203"/>
      <c r="D149" s="209" t="s">
        <v>144</v>
      </c>
      <c r="E149" s="191" t="s">
        <v>128</v>
      </c>
      <c r="F149" s="192" t="s">
        <v>59</v>
      </c>
      <c r="G149" s="193">
        <v>1</v>
      </c>
      <c r="H149" s="103">
        <f>1</f>
        <v>1</v>
      </c>
      <c r="I149" s="135"/>
      <c r="J149" s="204"/>
      <c r="K149" s="194"/>
      <c r="L149" s="194"/>
      <c r="M149" s="114"/>
      <c r="N149" s="131"/>
      <c r="P149" s="132"/>
      <c r="Z149" s="195"/>
    </row>
    <row r="150" spans="1:26" s="170" customFormat="1" outlineLevel="1" x14ac:dyDescent="0.25">
      <c r="A150" s="187" t="s">
        <v>317</v>
      </c>
      <c r="B150" s="202"/>
      <c r="C150" s="203"/>
      <c r="D150" s="208" t="s">
        <v>145</v>
      </c>
      <c r="E150" s="191" t="s">
        <v>128</v>
      </c>
      <c r="F150" s="192" t="s">
        <v>59</v>
      </c>
      <c r="G150" s="193">
        <v>1</v>
      </c>
      <c r="H150" s="103">
        <f>2</f>
        <v>2</v>
      </c>
      <c r="I150" s="135"/>
      <c r="J150" s="204"/>
      <c r="K150" s="194"/>
      <c r="L150" s="194"/>
      <c r="M150" s="114"/>
      <c r="N150" s="131"/>
      <c r="P150" s="132"/>
      <c r="Z150" s="195"/>
    </row>
    <row r="151" spans="1:26" s="170" customFormat="1" outlineLevel="1" x14ac:dyDescent="0.25">
      <c r="A151" s="187" t="s">
        <v>318</v>
      </c>
      <c r="B151" s="202"/>
      <c r="C151" s="203"/>
      <c r="D151" s="208" t="s">
        <v>146</v>
      </c>
      <c r="E151" s="191" t="s">
        <v>128</v>
      </c>
      <c r="F151" s="192" t="s">
        <v>59</v>
      </c>
      <c r="G151" s="193">
        <v>1</v>
      </c>
      <c r="H151" s="103">
        <f>1</f>
        <v>1</v>
      </c>
      <c r="I151" s="135"/>
      <c r="J151" s="204"/>
      <c r="K151" s="194"/>
      <c r="L151" s="194"/>
      <c r="M151" s="114"/>
      <c r="N151" s="131"/>
      <c r="P151" s="132"/>
      <c r="Z151" s="195"/>
    </row>
    <row r="152" spans="1:26" s="170" customFormat="1" outlineLevel="1" x14ac:dyDescent="0.25">
      <c r="A152" s="187" t="s">
        <v>319</v>
      </c>
      <c r="B152" s="202"/>
      <c r="C152" s="203"/>
      <c r="D152" s="208" t="s">
        <v>147</v>
      </c>
      <c r="E152" s="191" t="s">
        <v>128</v>
      </c>
      <c r="F152" s="192" t="s">
        <v>59</v>
      </c>
      <c r="G152" s="193">
        <v>1</v>
      </c>
      <c r="H152" s="103">
        <f>1</f>
        <v>1</v>
      </c>
      <c r="I152" s="135"/>
      <c r="J152" s="204"/>
      <c r="K152" s="194"/>
      <c r="L152" s="194"/>
      <c r="M152" s="114"/>
      <c r="N152" s="131"/>
      <c r="P152" s="132"/>
      <c r="Z152" s="195"/>
    </row>
    <row r="153" spans="1:26" s="170" customFormat="1" ht="76.5" outlineLevel="1" x14ac:dyDescent="0.25">
      <c r="A153" s="178" t="s">
        <v>320</v>
      </c>
      <c r="B153" s="179" t="s">
        <v>134</v>
      </c>
      <c r="C153" s="179"/>
      <c r="D153" s="180" t="s">
        <v>202</v>
      </c>
      <c r="E153" s="181" t="s">
        <v>6</v>
      </c>
      <c r="F153" s="182" t="s">
        <v>124</v>
      </c>
      <c r="G153" s="183"/>
      <c r="H153" s="104">
        <f>16*5+27</f>
        <v>107</v>
      </c>
      <c r="I153" s="143"/>
      <c r="J153" s="237"/>
      <c r="K153" s="184">
        <f>J153</f>
        <v>0</v>
      </c>
      <c r="L153" s="184"/>
      <c r="M153" s="112">
        <f>J153*H153</f>
        <v>0</v>
      </c>
      <c r="N153" s="130">
        <f>M153</f>
        <v>0</v>
      </c>
      <c r="P153" s="201" t="s">
        <v>201</v>
      </c>
      <c r="Z153" s="195"/>
    </row>
    <row r="154" spans="1:26" s="170" customFormat="1" ht="45" outlineLevel="1" x14ac:dyDescent="0.25">
      <c r="A154" s="210" t="s">
        <v>321</v>
      </c>
      <c r="B154" s="202"/>
      <c r="C154" s="203"/>
      <c r="D154" s="208" t="s">
        <v>135</v>
      </c>
      <c r="E154" s="211" t="s">
        <v>128</v>
      </c>
      <c r="F154" s="212" t="s">
        <v>124</v>
      </c>
      <c r="G154" s="193">
        <v>1.03</v>
      </c>
      <c r="H154" s="103">
        <f>ROUND((16*2)*G154,0)</f>
        <v>33</v>
      </c>
      <c r="I154" s="236"/>
      <c r="J154" s="133"/>
      <c r="K154" s="194">
        <f t="shared" ref="K154:K165" si="50">I154</f>
        <v>0</v>
      </c>
      <c r="L154" s="194">
        <f t="shared" ref="L154:L165" si="51">I154*H154</f>
        <v>0</v>
      </c>
      <c r="M154" s="114"/>
      <c r="N154" s="131">
        <f t="shared" ref="N154:N165" si="52">L154</f>
        <v>0</v>
      </c>
      <c r="P154" s="132"/>
      <c r="Z154" s="195"/>
    </row>
    <row r="155" spans="1:26" s="170" customFormat="1" ht="45" outlineLevel="1" x14ac:dyDescent="0.25">
      <c r="A155" s="210" t="s">
        <v>322</v>
      </c>
      <c r="B155" s="202"/>
      <c r="C155" s="203"/>
      <c r="D155" s="208" t="s">
        <v>138</v>
      </c>
      <c r="E155" s="211" t="s">
        <v>128</v>
      </c>
      <c r="F155" s="212" t="s">
        <v>124</v>
      </c>
      <c r="G155" s="193">
        <v>1.03</v>
      </c>
      <c r="H155" s="103">
        <f>ROUND((16*2)*G155,0)</f>
        <v>33</v>
      </c>
      <c r="I155" s="236"/>
      <c r="J155" s="133"/>
      <c r="K155" s="194">
        <f t="shared" si="50"/>
        <v>0</v>
      </c>
      <c r="L155" s="194">
        <f t="shared" si="51"/>
        <v>0</v>
      </c>
      <c r="M155" s="114"/>
      <c r="N155" s="131">
        <f t="shared" si="52"/>
        <v>0</v>
      </c>
      <c r="P155" s="132"/>
      <c r="Z155" s="195"/>
    </row>
    <row r="156" spans="1:26" s="170" customFormat="1" ht="45" outlineLevel="1" x14ac:dyDescent="0.25">
      <c r="A156" s="210" t="s">
        <v>323</v>
      </c>
      <c r="B156" s="202"/>
      <c r="C156" s="203"/>
      <c r="D156" s="208" t="s">
        <v>136</v>
      </c>
      <c r="E156" s="211" t="s">
        <v>128</v>
      </c>
      <c r="F156" s="212" t="s">
        <v>124</v>
      </c>
      <c r="G156" s="193">
        <v>1.03</v>
      </c>
      <c r="H156" s="103">
        <f>ROUND((16+27)*G156,0)</f>
        <v>44</v>
      </c>
      <c r="I156" s="236"/>
      <c r="J156" s="133"/>
      <c r="K156" s="194">
        <f t="shared" si="50"/>
        <v>0</v>
      </c>
      <c r="L156" s="194">
        <f t="shared" si="51"/>
        <v>0</v>
      </c>
      <c r="M156" s="114"/>
      <c r="N156" s="131">
        <f t="shared" si="52"/>
        <v>0</v>
      </c>
      <c r="P156" s="132"/>
      <c r="Z156" s="195"/>
    </row>
    <row r="157" spans="1:26" s="170" customFormat="1" ht="76.5" outlineLevel="1" x14ac:dyDescent="0.25">
      <c r="A157" s="178" t="s">
        <v>324</v>
      </c>
      <c r="B157" s="179" t="s">
        <v>134</v>
      </c>
      <c r="C157" s="179"/>
      <c r="D157" s="180" t="s">
        <v>213</v>
      </c>
      <c r="E157" s="181" t="s">
        <v>6</v>
      </c>
      <c r="F157" s="182" t="s">
        <v>124</v>
      </c>
      <c r="G157" s="183"/>
      <c r="H157" s="104">
        <f>50*4+56+200*13</f>
        <v>2856</v>
      </c>
      <c r="I157" s="143"/>
      <c r="J157" s="237"/>
      <c r="K157" s="184">
        <f>J157</f>
        <v>0</v>
      </c>
      <c r="L157" s="184"/>
      <c r="M157" s="112">
        <f>J157*H157</f>
        <v>0</v>
      </c>
      <c r="N157" s="130">
        <f>M157</f>
        <v>0</v>
      </c>
      <c r="P157" s="201" t="s">
        <v>201</v>
      </c>
      <c r="Z157" s="195"/>
    </row>
    <row r="158" spans="1:26" s="170" customFormat="1" ht="45" outlineLevel="1" x14ac:dyDescent="0.25">
      <c r="A158" s="210" t="s">
        <v>325</v>
      </c>
      <c r="B158" s="202"/>
      <c r="C158" s="203"/>
      <c r="D158" s="208" t="s">
        <v>135</v>
      </c>
      <c r="E158" s="211" t="s">
        <v>128</v>
      </c>
      <c r="F158" s="212" t="s">
        <v>124</v>
      </c>
      <c r="G158" s="193">
        <v>1.03</v>
      </c>
      <c r="H158" s="103">
        <f>ROUND((50+50+56+200*13)*G158,0)</f>
        <v>2839</v>
      </c>
      <c r="I158" s="236"/>
      <c r="J158" s="133"/>
      <c r="K158" s="194">
        <f t="shared" ref="K158:K159" si="53">I158</f>
        <v>0</v>
      </c>
      <c r="L158" s="194">
        <f t="shared" ref="L158:L159" si="54">I158*H158</f>
        <v>0</v>
      </c>
      <c r="M158" s="114"/>
      <c r="N158" s="131">
        <f t="shared" ref="N158:N159" si="55">L158</f>
        <v>0</v>
      </c>
      <c r="P158" s="132"/>
      <c r="Z158" s="195"/>
    </row>
    <row r="159" spans="1:26" s="170" customFormat="1" ht="45" outlineLevel="1" x14ac:dyDescent="0.25">
      <c r="A159" s="210" t="s">
        <v>326</v>
      </c>
      <c r="B159" s="202"/>
      <c r="C159" s="203"/>
      <c r="D159" s="208" t="s">
        <v>138</v>
      </c>
      <c r="E159" s="211" t="s">
        <v>128</v>
      </c>
      <c r="F159" s="212" t="s">
        <v>124</v>
      </c>
      <c r="G159" s="193">
        <v>1.03</v>
      </c>
      <c r="H159" s="103">
        <f>ROUND((50+50)*G159,0)</f>
        <v>103</v>
      </c>
      <c r="I159" s="236"/>
      <c r="J159" s="133"/>
      <c r="K159" s="194">
        <f t="shared" si="53"/>
        <v>0</v>
      </c>
      <c r="L159" s="194">
        <f t="shared" si="54"/>
        <v>0</v>
      </c>
      <c r="M159" s="114"/>
      <c r="N159" s="131">
        <f t="shared" si="55"/>
        <v>0</v>
      </c>
      <c r="P159" s="132"/>
      <c r="Z159" s="195"/>
    </row>
    <row r="160" spans="1:26" s="170" customFormat="1" outlineLevel="1" x14ac:dyDescent="0.25">
      <c r="A160" s="210" t="s">
        <v>327</v>
      </c>
      <c r="B160" s="202"/>
      <c r="C160" s="203"/>
      <c r="D160" s="208" t="s">
        <v>139</v>
      </c>
      <c r="E160" s="211" t="s">
        <v>128</v>
      </c>
      <c r="F160" s="212" t="s">
        <v>124</v>
      </c>
      <c r="G160" s="193">
        <v>1.1000000000000001</v>
      </c>
      <c r="H160" s="103">
        <f>ROUND(2856*G160,0)</f>
        <v>3142</v>
      </c>
      <c r="I160" s="236"/>
      <c r="J160" s="133"/>
      <c r="K160" s="194">
        <f>I160</f>
        <v>0</v>
      </c>
      <c r="L160" s="194">
        <f>I160*H160</f>
        <v>0</v>
      </c>
      <c r="M160" s="114"/>
      <c r="N160" s="131">
        <f>L160</f>
        <v>0</v>
      </c>
      <c r="P160" s="132"/>
      <c r="Z160" s="195"/>
    </row>
    <row r="161" spans="1:26" s="170" customFormat="1" outlineLevel="1" x14ac:dyDescent="0.25">
      <c r="A161" s="210" t="s">
        <v>328</v>
      </c>
      <c r="B161" s="202"/>
      <c r="C161" s="203"/>
      <c r="D161" s="208" t="s">
        <v>152</v>
      </c>
      <c r="E161" s="211" t="s">
        <v>128</v>
      </c>
      <c r="F161" s="212" t="s">
        <v>59</v>
      </c>
      <c r="G161" s="193">
        <v>1</v>
      </c>
      <c r="H161" s="103">
        <v>28</v>
      </c>
      <c r="I161" s="236"/>
      <c r="J161" s="133"/>
      <c r="K161" s="194">
        <f>I161</f>
        <v>0</v>
      </c>
      <c r="L161" s="194">
        <f>I161*H161</f>
        <v>0</v>
      </c>
      <c r="M161" s="114"/>
      <c r="N161" s="131">
        <f>L161</f>
        <v>0</v>
      </c>
      <c r="P161" s="132"/>
      <c r="Z161" s="195"/>
    </row>
    <row r="162" spans="1:26" s="170" customFormat="1" ht="76.5" outlineLevel="1" x14ac:dyDescent="0.25">
      <c r="A162" s="178" t="s">
        <v>329</v>
      </c>
      <c r="B162" s="179" t="s">
        <v>134</v>
      </c>
      <c r="C162" s="179"/>
      <c r="D162" s="180" t="s">
        <v>206</v>
      </c>
      <c r="E162" s="181" t="s">
        <v>6</v>
      </c>
      <c r="F162" s="182" t="s">
        <v>124</v>
      </c>
      <c r="G162" s="183"/>
      <c r="H162" s="104">
        <f>6*4+84*2</f>
        <v>192</v>
      </c>
      <c r="I162" s="143"/>
      <c r="J162" s="237"/>
      <c r="K162" s="184">
        <f>J162</f>
        <v>0</v>
      </c>
      <c r="L162" s="184"/>
      <c r="M162" s="112">
        <f>J162*H162</f>
        <v>0</v>
      </c>
      <c r="N162" s="130">
        <f>M162</f>
        <v>0</v>
      </c>
      <c r="P162" s="201" t="s">
        <v>201</v>
      </c>
      <c r="Z162" s="195"/>
    </row>
    <row r="163" spans="1:26" s="170" customFormat="1" ht="45" outlineLevel="1" x14ac:dyDescent="0.25">
      <c r="A163" s="210" t="s">
        <v>330</v>
      </c>
      <c r="B163" s="202"/>
      <c r="C163" s="203"/>
      <c r="D163" s="208" t="s">
        <v>135</v>
      </c>
      <c r="E163" s="211" t="s">
        <v>128</v>
      </c>
      <c r="F163" s="212" t="s">
        <v>124</v>
      </c>
      <c r="G163" s="193">
        <v>1.03</v>
      </c>
      <c r="H163" s="103">
        <f>ROUND((6+6)*G163,0)</f>
        <v>12</v>
      </c>
      <c r="I163" s="236"/>
      <c r="J163" s="133"/>
      <c r="K163" s="194">
        <f t="shared" ref="K163" si="56">I163</f>
        <v>0</v>
      </c>
      <c r="L163" s="194">
        <f t="shared" ref="L163" si="57">I163*H163</f>
        <v>0</v>
      </c>
      <c r="M163" s="114"/>
      <c r="N163" s="131">
        <f t="shared" ref="N163" si="58">L163</f>
        <v>0</v>
      </c>
      <c r="P163" s="132"/>
      <c r="Z163" s="195"/>
    </row>
    <row r="164" spans="1:26" s="170" customFormat="1" ht="45" outlineLevel="1" x14ac:dyDescent="0.25">
      <c r="A164" s="210" t="s">
        <v>331</v>
      </c>
      <c r="B164" s="202"/>
      <c r="C164" s="203"/>
      <c r="D164" s="208" t="s">
        <v>138</v>
      </c>
      <c r="E164" s="211" t="s">
        <v>128</v>
      </c>
      <c r="F164" s="212" t="s">
        <v>124</v>
      </c>
      <c r="G164" s="193">
        <v>1.03</v>
      </c>
      <c r="H164" s="103">
        <f>ROUND((6+6)*G164,0)</f>
        <v>12</v>
      </c>
      <c r="I164" s="236"/>
      <c r="J164" s="133"/>
      <c r="K164" s="194">
        <f>I164</f>
        <v>0</v>
      </c>
      <c r="L164" s="194">
        <f>I164*H164</f>
        <v>0</v>
      </c>
      <c r="M164" s="114"/>
      <c r="N164" s="131">
        <f>L164</f>
        <v>0</v>
      </c>
      <c r="P164" s="132"/>
      <c r="Z164" s="195"/>
    </row>
    <row r="165" spans="1:26" s="170" customFormat="1" ht="45" outlineLevel="1" x14ac:dyDescent="0.25">
      <c r="A165" s="210" t="s">
        <v>332</v>
      </c>
      <c r="B165" s="202"/>
      <c r="C165" s="203"/>
      <c r="D165" s="208" t="s">
        <v>136</v>
      </c>
      <c r="E165" s="211" t="s">
        <v>128</v>
      </c>
      <c r="F165" s="212" t="s">
        <v>124</v>
      </c>
      <c r="G165" s="193">
        <v>1.03</v>
      </c>
      <c r="H165" s="103">
        <f>ROUND((84+84)*G165,0)</f>
        <v>173</v>
      </c>
      <c r="I165" s="236"/>
      <c r="J165" s="133"/>
      <c r="K165" s="194">
        <f t="shared" si="50"/>
        <v>0</v>
      </c>
      <c r="L165" s="194">
        <f t="shared" si="51"/>
        <v>0</v>
      </c>
      <c r="M165" s="114"/>
      <c r="N165" s="131">
        <f t="shared" si="52"/>
        <v>0</v>
      </c>
      <c r="P165" s="132"/>
      <c r="Z165" s="195"/>
    </row>
    <row r="166" spans="1:26" s="170" customFormat="1" ht="12.75" outlineLevel="1" x14ac:dyDescent="0.25">
      <c r="A166" s="178" t="s">
        <v>333</v>
      </c>
      <c r="B166" s="179"/>
      <c r="C166" s="179"/>
      <c r="D166" s="180" t="s">
        <v>225</v>
      </c>
      <c r="E166" s="181" t="s">
        <v>6</v>
      </c>
      <c r="F166" s="182" t="s">
        <v>59</v>
      </c>
      <c r="G166" s="183"/>
      <c r="H166" s="104">
        <f>H167</f>
        <v>346</v>
      </c>
      <c r="I166" s="143"/>
      <c r="J166" s="237"/>
      <c r="K166" s="184">
        <f>J166</f>
        <v>0</v>
      </c>
      <c r="L166" s="184"/>
      <c r="M166" s="112">
        <f>J166*H166</f>
        <v>0</v>
      </c>
      <c r="N166" s="130">
        <f>M166</f>
        <v>0</v>
      </c>
      <c r="P166" s="185" t="s">
        <v>211</v>
      </c>
      <c r="Z166" s="195"/>
    </row>
    <row r="167" spans="1:26" s="170" customFormat="1" outlineLevel="1" x14ac:dyDescent="0.25">
      <c r="A167" s="187" t="s">
        <v>334</v>
      </c>
      <c r="B167" s="188"/>
      <c r="C167" s="189"/>
      <c r="D167" s="207" t="s">
        <v>148</v>
      </c>
      <c r="E167" s="191" t="s">
        <v>128</v>
      </c>
      <c r="F167" s="192" t="s">
        <v>59</v>
      </c>
      <c r="G167" s="193">
        <v>1</v>
      </c>
      <c r="H167" s="103">
        <f>173*2</f>
        <v>346</v>
      </c>
      <c r="I167" s="236"/>
      <c r="J167" s="113"/>
      <c r="K167" s="194">
        <f>I167</f>
        <v>0</v>
      </c>
      <c r="L167" s="194">
        <f>I167*H167</f>
        <v>0</v>
      </c>
      <c r="M167" s="114"/>
      <c r="N167" s="131">
        <f>L167</f>
        <v>0</v>
      </c>
      <c r="P167" s="132"/>
      <c r="Z167" s="195"/>
    </row>
    <row r="168" spans="1:26" s="170" customFormat="1" ht="12.75" x14ac:dyDescent="0.25">
      <c r="A168" s="171">
        <v>8</v>
      </c>
      <c r="B168" s="172"/>
      <c r="C168" s="172"/>
      <c r="D168" s="173" t="s">
        <v>103</v>
      </c>
      <c r="E168" s="125"/>
      <c r="F168" s="174"/>
      <c r="G168" s="175"/>
      <c r="H168" s="142"/>
      <c r="I168" s="240"/>
      <c r="J168" s="126"/>
      <c r="K168" s="176"/>
      <c r="L168" s="176"/>
      <c r="M168" s="127"/>
      <c r="N168" s="129"/>
      <c r="P168" s="132"/>
    </row>
    <row r="169" spans="1:26" s="170" customFormat="1" ht="12.75" outlineLevel="1" x14ac:dyDescent="0.25">
      <c r="A169" s="178" t="s">
        <v>335</v>
      </c>
      <c r="B169" s="179" t="s">
        <v>104</v>
      </c>
      <c r="C169" s="179"/>
      <c r="D169" s="180" t="s">
        <v>105</v>
      </c>
      <c r="E169" s="181" t="s">
        <v>6</v>
      </c>
      <c r="F169" s="182" t="s">
        <v>59</v>
      </c>
      <c r="G169" s="183"/>
      <c r="H169" s="104">
        <f>H170</f>
        <v>3</v>
      </c>
      <c r="I169" s="143"/>
      <c r="J169" s="105"/>
      <c r="K169" s="184">
        <f>J169</f>
        <v>0</v>
      </c>
      <c r="L169" s="184"/>
      <c r="M169" s="112">
        <f>J169*H169</f>
        <v>0</v>
      </c>
      <c r="N169" s="130">
        <f>M169</f>
        <v>0</v>
      </c>
      <c r="P169" s="185" t="s">
        <v>211</v>
      </c>
      <c r="Z169" s="195"/>
    </row>
    <row r="170" spans="1:26" s="170" customFormat="1" outlineLevel="1" x14ac:dyDescent="0.25">
      <c r="A170" s="187" t="s">
        <v>336</v>
      </c>
      <c r="B170" s="188"/>
      <c r="C170" s="189"/>
      <c r="D170" s="207" t="s">
        <v>106</v>
      </c>
      <c r="E170" s="191" t="s">
        <v>128</v>
      </c>
      <c r="F170" s="192" t="s">
        <v>59</v>
      </c>
      <c r="G170" s="193">
        <v>1</v>
      </c>
      <c r="H170" s="103">
        <v>3</v>
      </c>
      <c r="I170" s="236"/>
      <c r="J170" s="113"/>
      <c r="K170" s="194">
        <f t="shared" ref="K170" si="59">I170</f>
        <v>0</v>
      </c>
      <c r="L170" s="194">
        <f t="shared" ref="L170" si="60">I170*H170</f>
        <v>0</v>
      </c>
      <c r="M170" s="114"/>
      <c r="N170" s="131">
        <f t="shared" ref="N170" si="61">L170</f>
        <v>0</v>
      </c>
      <c r="P170" s="132"/>
      <c r="Z170" s="195"/>
    </row>
    <row r="171" spans="1:26" s="170" customFormat="1" ht="12.75" outlineLevel="1" x14ac:dyDescent="0.25">
      <c r="A171" s="178" t="s">
        <v>337</v>
      </c>
      <c r="B171" s="179" t="s">
        <v>107</v>
      </c>
      <c r="C171" s="179"/>
      <c r="D171" s="180" t="s">
        <v>108</v>
      </c>
      <c r="E171" s="181" t="s">
        <v>6</v>
      </c>
      <c r="F171" s="182" t="s">
        <v>59</v>
      </c>
      <c r="G171" s="183"/>
      <c r="H171" s="104">
        <f>H172</f>
        <v>1</v>
      </c>
      <c r="I171" s="143"/>
      <c r="J171" s="105"/>
      <c r="K171" s="184">
        <f>J171</f>
        <v>0</v>
      </c>
      <c r="L171" s="184"/>
      <c r="M171" s="112">
        <f>J171*H171</f>
        <v>0</v>
      </c>
      <c r="N171" s="130">
        <f>M171</f>
        <v>0</v>
      </c>
      <c r="P171" s="185" t="s">
        <v>211</v>
      </c>
      <c r="Z171" s="195"/>
    </row>
    <row r="172" spans="1:26" s="170" customFormat="1" outlineLevel="1" x14ac:dyDescent="0.25">
      <c r="A172" s="187" t="s">
        <v>338</v>
      </c>
      <c r="B172" s="188"/>
      <c r="C172" s="189"/>
      <c r="D172" s="207" t="s">
        <v>109</v>
      </c>
      <c r="E172" s="191" t="s">
        <v>128</v>
      </c>
      <c r="F172" s="192" t="s">
        <v>59</v>
      </c>
      <c r="G172" s="193">
        <v>1</v>
      </c>
      <c r="H172" s="103">
        <v>1</v>
      </c>
      <c r="I172" s="236"/>
      <c r="J172" s="113"/>
      <c r="K172" s="194">
        <f>I172</f>
        <v>0</v>
      </c>
      <c r="L172" s="194">
        <f>I172*H172</f>
        <v>0</v>
      </c>
      <c r="M172" s="114"/>
      <c r="N172" s="131">
        <f>L172</f>
        <v>0</v>
      </c>
      <c r="P172" s="132"/>
      <c r="Z172" s="195"/>
    </row>
    <row r="173" spans="1:26" s="170" customFormat="1" ht="12.75" outlineLevel="1" x14ac:dyDescent="0.25">
      <c r="A173" s="178" t="s">
        <v>339</v>
      </c>
      <c r="B173" s="179" t="s">
        <v>111</v>
      </c>
      <c r="C173" s="179"/>
      <c r="D173" s="180" t="s">
        <v>110</v>
      </c>
      <c r="E173" s="181" t="s">
        <v>6</v>
      </c>
      <c r="F173" s="182" t="s">
        <v>59</v>
      </c>
      <c r="G173" s="183"/>
      <c r="H173" s="104">
        <f>H174</f>
        <v>2</v>
      </c>
      <c r="I173" s="143"/>
      <c r="J173" s="105"/>
      <c r="K173" s="184">
        <f>J173</f>
        <v>0</v>
      </c>
      <c r="L173" s="184"/>
      <c r="M173" s="112">
        <f>J173*H173</f>
        <v>0</v>
      </c>
      <c r="N173" s="130">
        <f>M173</f>
        <v>0</v>
      </c>
      <c r="P173" s="185" t="s">
        <v>211</v>
      </c>
      <c r="Z173" s="195"/>
    </row>
    <row r="174" spans="1:26" s="170" customFormat="1" outlineLevel="1" x14ac:dyDescent="0.25">
      <c r="A174" s="187" t="s">
        <v>340</v>
      </c>
      <c r="B174" s="188"/>
      <c r="C174" s="189"/>
      <c r="D174" s="207" t="s">
        <v>112</v>
      </c>
      <c r="E174" s="191" t="s">
        <v>128</v>
      </c>
      <c r="F174" s="192" t="s">
        <v>59</v>
      </c>
      <c r="G174" s="193">
        <v>1</v>
      </c>
      <c r="H174" s="103">
        <v>2</v>
      </c>
      <c r="I174" s="236"/>
      <c r="J174" s="113"/>
      <c r="K174" s="194">
        <f t="shared" ref="K174" si="62">I174</f>
        <v>0</v>
      </c>
      <c r="L174" s="194">
        <f t="shared" ref="L174" si="63">I174*H174</f>
        <v>0</v>
      </c>
      <c r="M174" s="114"/>
      <c r="N174" s="131">
        <f t="shared" ref="N174" si="64">L174</f>
        <v>0</v>
      </c>
      <c r="P174" s="132"/>
      <c r="Z174" s="195"/>
    </row>
    <row r="175" spans="1:26" s="170" customFormat="1" ht="12.75" outlineLevel="1" x14ac:dyDescent="0.25">
      <c r="A175" s="178" t="s">
        <v>341</v>
      </c>
      <c r="B175" s="179" t="s">
        <v>114</v>
      </c>
      <c r="C175" s="179"/>
      <c r="D175" s="180" t="s">
        <v>113</v>
      </c>
      <c r="E175" s="181" t="s">
        <v>6</v>
      </c>
      <c r="F175" s="182" t="s">
        <v>59</v>
      </c>
      <c r="G175" s="183"/>
      <c r="H175" s="104">
        <f>H176</f>
        <v>2</v>
      </c>
      <c r="I175" s="143"/>
      <c r="J175" s="105"/>
      <c r="K175" s="184">
        <f>J175</f>
        <v>0</v>
      </c>
      <c r="L175" s="184"/>
      <c r="M175" s="112">
        <f>J175*H175</f>
        <v>0</v>
      </c>
      <c r="N175" s="130">
        <f>M175</f>
        <v>0</v>
      </c>
      <c r="P175" s="185" t="s">
        <v>211</v>
      </c>
      <c r="Z175" s="195"/>
    </row>
    <row r="176" spans="1:26" s="170" customFormat="1" ht="25.5" outlineLevel="1" x14ac:dyDescent="0.25">
      <c r="A176" s="187" t="s">
        <v>342</v>
      </c>
      <c r="B176" s="188"/>
      <c r="C176" s="189" t="s">
        <v>185</v>
      </c>
      <c r="D176" s="206" t="s">
        <v>115</v>
      </c>
      <c r="E176" s="191" t="s">
        <v>128</v>
      </c>
      <c r="F176" s="192" t="s">
        <v>59</v>
      </c>
      <c r="G176" s="193">
        <v>1</v>
      </c>
      <c r="H176" s="103">
        <v>2</v>
      </c>
      <c r="I176" s="236"/>
      <c r="J176" s="113"/>
      <c r="K176" s="194">
        <f>I176</f>
        <v>0</v>
      </c>
      <c r="L176" s="194">
        <f>I176*H176</f>
        <v>0</v>
      </c>
      <c r="M176" s="114"/>
      <c r="N176" s="131">
        <f>L176</f>
        <v>0</v>
      </c>
      <c r="P176" s="132"/>
      <c r="Z176" s="195"/>
    </row>
    <row r="177" spans="1:26" s="170" customFormat="1" ht="12.75" outlineLevel="1" x14ac:dyDescent="0.25">
      <c r="A177" s="178" t="s">
        <v>343</v>
      </c>
      <c r="B177" s="179" t="s">
        <v>117</v>
      </c>
      <c r="C177" s="179"/>
      <c r="D177" s="180" t="s">
        <v>116</v>
      </c>
      <c r="E177" s="181" t="s">
        <v>6</v>
      </c>
      <c r="F177" s="182" t="s">
        <v>59</v>
      </c>
      <c r="G177" s="183"/>
      <c r="H177" s="104">
        <f>H178</f>
        <v>2</v>
      </c>
      <c r="I177" s="143"/>
      <c r="J177" s="105"/>
      <c r="K177" s="184">
        <f>J177</f>
        <v>0</v>
      </c>
      <c r="L177" s="184"/>
      <c r="M177" s="112">
        <f>J177*H177</f>
        <v>0</v>
      </c>
      <c r="N177" s="130">
        <f>M177</f>
        <v>0</v>
      </c>
      <c r="P177" s="185" t="s">
        <v>211</v>
      </c>
      <c r="Z177" s="195"/>
    </row>
    <row r="178" spans="1:26" s="170" customFormat="1" ht="12.75" outlineLevel="1" x14ac:dyDescent="0.25">
      <c r="A178" s="187" t="s">
        <v>344</v>
      </c>
      <c r="B178" s="188"/>
      <c r="C178" s="189"/>
      <c r="D178" s="206" t="s">
        <v>118</v>
      </c>
      <c r="E178" s="191" t="s">
        <v>128</v>
      </c>
      <c r="F178" s="192" t="s">
        <v>59</v>
      </c>
      <c r="G178" s="193">
        <v>1</v>
      </c>
      <c r="H178" s="103">
        <v>2</v>
      </c>
      <c r="I178" s="236"/>
      <c r="J178" s="113"/>
      <c r="K178" s="194">
        <f>I178</f>
        <v>0</v>
      </c>
      <c r="L178" s="194">
        <f>I178*H178</f>
        <v>0</v>
      </c>
      <c r="M178" s="114"/>
      <c r="N178" s="131">
        <f>L178</f>
        <v>0</v>
      </c>
      <c r="P178" s="132"/>
      <c r="Z178" s="195"/>
    </row>
    <row r="179" spans="1:26" s="170" customFormat="1" ht="12.75" outlineLevel="1" x14ac:dyDescent="0.25">
      <c r="A179" s="178" t="s">
        <v>345</v>
      </c>
      <c r="B179" s="179" t="s">
        <v>119</v>
      </c>
      <c r="C179" s="179"/>
      <c r="D179" s="180" t="s">
        <v>120</v>
      </c>
      <c r="E179" s="181" t="s">
        <v>6</v>
      </c>
      <c r="F179" s="182" t="s">
        <v>59</v>
      </c>
      <c r="G179" s="183"/>
      <c r="H179" s="104">
        <f>H180</f>
        <v>2</v>
      </c>
      <c r="I179" s="143"/>
      <c r="J179" s="105"/>
      <c r="K179" s="184">
        <f>J179</f>
        <v>0</v>
      </c>
      <c r="L179" s="184"/>
      <c r="M179" s="112">
        <f>J179*H179</f>
        <v>0</v>
      </c>
      <c r="N179" s="130">
        <f>M179</f>
        <v>0</v>
      </c>
      <c r="P179" s="185" t="s">
        <v>211</v>
      </c>
      <c r="Z179" s="195"/>
    </row>
    <row r="180" spans="1:26" s="170" customFormat="1" ht="12.75" outlineLevel="1" x14ac:dyDescent="0.25">
      <c r="A180" s="187" t="s">
        <v>346</v>
      </c>
      <c r="B180" s="188"/>
      <c r="C180" s="189"/>
      <c r="D180" s="206" t="s">
        <v>121</v>
      </c>
      <c r="E180" s="191" t="s">
        <v>128</v>
      </c>
      <c r="F180" s="192" t="s">
        <v>59</v>
      </c>
      <c r="G180" s="193">
        <v>1</v>
      </c>
      <c r="H180" s="103">
        <v>2</v>
      </c>
      <c r="I180" s="236"/>
      <c r="J180" s="113"/>
      <c r="K180" s="194">
        <f>I180</f>
        <v>0</v>
      </c>
      <c r="L180" s="194">
        <f>I180*H180</f>
        <v>0</v>
      </c>
      <c r="M180" s="114"/>
      <c r="N180" s="131">
        <f>L180</f>
        <v>0</v>
      </c>
      <c r="P180" s="132"/>
      <c r="Z180" s="195"/>
    </row>
    <row r="181" spans="1:26" s="170" customFormat="1" ht="76.5" outlineLevel="1" x14ac:dyDescent="0.25">
      <c r="A181" s="178" t="s">
        <v>347</v>
      </c>
      <c r="B181" s="179" t="s">
        <v>122</v>
      </c>
      <c r="C181" s="179"/>
      <c r="D181" s="180" t="s">
        <v>202</v>
      </c>
      <c r="E181" s="181" t="s">
        <v>6</v>
      </c>
      <c r="F181" s="182" t="s">
        <v>124</v>
      </c>
      <c r="G181" s="183"/>
      <c r="H181" s="104">
        <f>16+14</f>
        <v>30</v>
      </c>
      <c r="I181" s="143"/>
      <c r="J181" s="105"/>
      <c r="K181" s="184">
        <f>J181</f>
        <v>0</v>
      </c>
      <c r="L181" s="184"/>
      <c r="M181" s="112">
        <f>J181*H181</f>
        <v>0</v>
      </c>
      <c r="N181" s="130">
        <f>M181</f>
        <v>0</v>
      </c>
      <c r="P181" s="201" t="s">
        <v>201</v>
      </c>
      <c r="Z181" s="195"/>
    </row>
    <row r="182" spans="1:26" s="170" customFormat="1" ht="38.25" outlineLevel="1" x14ac:dyDescent="0.25">
      <c r="A182" s="218" t="s">
        <v>348</v>
      </c>
      <c r="B182" s="202"/>
      <c r="C182" s="203"/>
      <c r="D182" s="219" t="s">
        <v>123</v>
      </c>
      <c r="E182" s="191" t="s">
        <v>128</v>
      </c>
      <c r="F182" s="212" t="s">
        <v>124</v>
      </c>
      <c r="G182" s="193">
        <v>1.03</v>
      </c>
      <c r="H182" s="103">
        <f>ROUND((16+14)*G182,0)</f>
        <v>31</v>
      </c>
      <c r="I182" s="236"/>
      <c r="J182" s="133"/>
      <c r="K182" s="194">
        <f>I182</f>
        <v>0</v>
      </c>
      <c r="L182" s="194">
        <f>I182*H182</f>
        <v>0</v>
      </c>
      <c r="M182" s="114"/>
      <c r="N182" s="131">
        <f>L182</f>
        <v>0</v>
      </c>
      <c r="P182" s="132"/>
      <c r="Z182" s="195"/>
    </row>
    <row r="183" spans="1:26" s="170" customFormat="1" ht="76.5" outlineLevel="1" x14ac:dyDescent="0.25">
      <c r="A183" s="178" t="s">
        <v>349</v>
      </c>
      <c r="B183" s="179" t="s">
        <v>122</v>
      </c>
      <c r="C183" s="179"/>
      <c r="D183" s="180" t="s">
        <v>213</v>
      </c>
      <c r="E183" s="181" t="s">
        <v>6</v>
      </c>
      <c r="F183" s="182" t="s">
        <v>124</v>
      </c>
      <c r="G183" s="183"/>
      <c r="H183" s="104">
        <f>31+13+14+14+12+12+11+11</f>
        <v>118</v>
      </c>
      <c r="I183" s="143"/>
      <c r="J183" s="105"/>
      <c r="K183" s="184">
        <f>J183</f>
        <v>0</v>
      </c>
      <c r="L183" s="184"/>
      <c r="M183" s="112">
        <f>J183*H183</f>
        <v>0</v>
      </c>
      <c r="N183" s="130">
        <f>M183</f>
        <v>0</v>
      </c>
      <c r="P183" s="201" t="s">
        <v>201</v>
      </c>
      <c r="Z183" s="195"/>
    </row>
    <row r="184" spans="1:26" s="170" customFormat="1" ht="38.25" outlineLevel="1" x14ac:dyDescent="0.25">
      <c r="A184" s="218" t="s">
        <v>350</v>
      </c>
      <c r="B184" s="202"/>
      <c r="C184" s="203"/>
      <c r="D184" s="219" t="s">
        <v>123</v>
      </c>
      <c r="E184" s="191" t="s">
        <v>128</v>
      </c>
      <c r="F184" s="212" t="s">
        <v>124</v>
      </c>
      <c r="G184" s="193">
        <v>1.03</v>
      </c>
      <c r="H184" s="103">
        <f>ROUND((31+13+12+12+11+11)*G184,0)</f>
        <v>93</v>
      </c>
      <c r="I184" s="236"/>
      <c r="J184" s="133"/>
      <c r="K184" s="194">
        <f>I184</f>
        <v>0</v>
      </c>
      <c r="L184" s="194">
        <f>I184*H184</f>
        <v>0</v>
      </c>
      <c r="M184" s="114"/>
      <c r="N184" s="131">
        <f>L184</f>
        <v>0</v>
      </c>
      <c r="P184" s="132"/>
      <c r="Z184" s="195"/>
    </row>
    <row r="185" spans="1:26" s="170" customFormat="1" ht="38.25" outlineLevel="1" x14ac:dyDescent="0.25">
      <c r="A185" s="218" t="s">
        <v>351</v>
      </c>
      <c r="B185" s="202"/>
      <c r="C185" s="203"/>
      <c r="D185" s="219" t="s">
        <v>137</v>
      </c>
      <c r="E185" s="191" t="s">
        <v>128</v>
      </c>
      <c r="F185" s="212" t="s">
        <v>124</v>
      </c>
      <c r="G185" s="193">
        <v>1.03</v>
      </c>
      <c r="H185" s="103">
        <f>ROUND(28*G185,0)</f>
        <v>29</v>
      </c>
      <c r="I185" s="236"/>
      <c r="J185" s="133"/>
      <c r="K185" s="194">
        <f t="shared" ref="K185:K186" si="65">I185</f>
        <v>0</v>
      </c>
      <c r="L185" s="194">
        <f t="shared" ref="L185:L186" si="66">I185*H185</f>
        <v>0</v>
      </c>
      <c r="M185" s="114"/>
      <c r="N185" s="131">
        <f t="shared" ref="N185:N186" si="67">L185</f>
        <v>0</v>
      </c>
      <c r="P185" s="132"/>
      <c r="Z185" s="195"/>
    </row>
    <row r="186" spans="1:26" s="170" customFormat="1" ht="12.75" outlineLevel="1" x14ac:dyDescent="0.25">
      <c r="A186" s="218" t="s">
        <v>352</v>
      </c>
      <c r="B186" s="202"/>
      <c r="C186" s="203"/>
      <c r="D186" s="219" t="s">
        <v>125</v>
      </c>
      <c r="E186" s="191" t="s">
        <v>128</v>
      </c>
      <c r="F186" s="212" t="s">
        <v>124</v>
      </c>
      <c r="G186" s="193">
        <v>1.1000000000000001</v>
      </c>
      <c r="H186" s="103">
        <f>ROUND(118*G186,0)</f>
        <v>130</v>
      </c>
      <c r="I186" s="236"/>
      <c r="J186" s="133"/>
      <c r="K186" s="194">
        <f t="shared" si="65"/>
        <v>0</v>
      </c>
      <c r="L186" s="194">
        <f t="shared" si="66"/>
        <v>0</v>
      </c>
      <c r="M186" s="114"/>
      <c r="N186" s="131">
        <f t="shared" si="67"/>
        <v>0</v>
      </c>
      <c r="P186" s="132"/>
      <c r="Z186" s="195"/>
    </row>
    <row r="187" spans="1:26" s="170" customFormat="1" ht="76.5" outlineLevel="1" x14ac:dyDescent="0.25">
      <c r="A187" s="178" t="s">
        <v>353</v>
      </c>
      <c r="B187" s="179" t="s">
        <v>122</v>
      </c>
      <c r="C187" s="179"/>
      <c r="D187" s="180" t="s">
        <v>206</v>
      </c>
      <c r="E187" s="181" t="s">
        <v>6</v>
      </c>
      <c r="F187" s="182" t="s">
        <v>124</v>
      </c>
      <c r="G187" s="183"/>
      <c r="H187" s="104">
        <v>6</v>
      </c>
      <c r="I187" s="143"/>
      <c r="J187" s="105"/>
      <c r="K187" s="184">
        <f>J187</f>
        <v>0</v>
      </c>
      <c r="L187" s="184"/>
      <c r="M187" s="112">
        <f>J187*H187</f>
        <v>0</v>
      </c>
      <c r="N187" s="130">
        <f>M187</f>
        <v>0</v>
      </c>
      <c r="P187" s="201" t="s">
        <v>201</v>
      </c>
      <c r="Z187" s="195"/>
    </row>
    <row r="188" spans="1:26" s="170" customFormat="1" ht="38.25" outlineLevel="1" x14ac:dyDescent="0.25">
      <c r="A188" s="218" t="s">
        <v>354</v>
      </c>
      <c r="B188" s="202"/>
      <c r="C188" s="203"/>
      <c r="D188" s="219" t="s">
        <v>123</v>
      </c>
      <c r="E188" s="191" t="s">
        <v>128</v>
      </c>
      <c r="F188" s="212" t="s">
        <v>124</v>
      </c>
      <c r="G188" s="193">
        <v>1.03</v>
      </c>
      <c r="H188" s="103">
        <f>ROUND(6*G188,0)</f>
        <v>6</v>
      </c>
      <c r="I188" s="236"/>
      <c r="J188" s="133"/>
      <c r="K188" s="194">
        <f>I188</f>
        <v>0</v>
      </c>
      <c r="L188" s="194">
        <f>I188*H188</f>
        <v>0</v>
      </c>
      <c r="M188" s="114"/>
      <c r="N188" s="131">
        <f>L188</f>
        <v>0</v>
      </c>
      <c r="P188" s="132"/>
      <c r="Z188" s="195"/>
    </row>
    <row r="189" spans="1:26" s="170" customFormat="1" ht="12.75" x14ac:dyDescent="0.25">
      <c r="A189" s="171">
        <v>9</v>
      </c>
      <c r="B189" s="172"/>
      <c r="C189" s="172"/>
      <c r="D189" s="173" t="s">
        <v>190</v>
      </c>
      <c r="E189" s="125"/>
      <c r="F189" s="174"/>
      <c r="G189" s="175"/>
      <c r="H189" s="128"/>
      <c r="I189" s="240"/>
      <c r="J189" s="126"/>
      <c r="K189" s="176"/>
      <c r="L189" s="176"/>
      <c r="M189" s="127"/>
      <c r="N189" s="129"/>
      <c r="P189" s="132"/>
      <c r="Z189" s="195"/>
    </row>
    <row r="190" spans="1:26" s="170" customFormat="1" ht="25.5" outlineLevel="1" x14ac:dyDescent="0.25">
      <c r="A190" s="178" t="s">
        <v>355</v>
      </c>
      <c r="B190" s="179" t="s">
        <v>187</v>
      </c>
      <c r="C190" s="179"/>
      <c r="D190" s="180" t="s">
        <v>189</v>
      </c>
      <c r="E190" s="181" t="s">
        <v>6</v>
      </c>
      <c r="F190" s="182" t="s">
        <v>124</v>
      </c>
      <c r="G190" s="183"/>
      <c r="H190" s="104">
        <v>48</v>
      </c>
      <c r="I190" s="143"/>
      <c r="J190" s="105"/>
      <c r="K190" s="184">
        <f>J190</f>
        <v>0</v>
      </c>
      <c r="L190" s="184"/>
      <c r="M190" s="112">
        <f>J190*H190</f>
        <v>0</v>
      </c>
      <c r="N190" s="130">
        <f>M190</f>
        <v>0</v>
      </c>
      <c r="P190" s="185" t="s">
        <v>211</v>
      </c>
      <c r="Z190" s="195"/>
    </row>
    <row r="191" spans="1:26" s="170" customFormat="1" ht="25.5" outlineLevel="1" x14ac:dyDescent="0.25">
      <c r="A191" s="218" t="s">
        <v>356</v>
      </c>
      <c r="B191" s="202"/>
      <c r="C191" s="203"/>
      <c r="D191" s="219" t="s">
        <v>188</v>
      </c>
      <c r="E191" s="191" t="s">
        <v>128</v>
      </c>
      <c r="F191" s="212" t="s">
        <v>124</v>
      </c>
      <c r="G191" s="193">
        <v>1</v>
      </c>
      <c r="H191" s="103">
        <f>48</f>
        <v>48</v>
      </c>
      <c r="I191" s="236"/>
      <c r="J191" s="133"/>
      <c r="K191" s="194">
        <f>I191</f>
        <v>0</v>
      </c>
      <c r="L191" s="194">
        <f>I191*H191</f>
        <v>0</v>
      </c>
      <c r="M191" s="114"/>
      <c r="N191" s="131">
        <f>L191</f>
        <v>0</v>
      </c>
      <c r="P191" s="132"/>
      <c r="Z191" s="195"/>
    </row>
    <row r="192" spans="1:26" s="170" customFormat="1" ht="12.75" outlineLevel="1" x14ac:dyDescent="0.25">
      <c r="A192" s="218" t="s">
        <v>357</v>
      </c>
      <c r="B192" s="202"/>
      <c r="C192" s="203"/>
      <c r="D192" s="219" t="s">
        <v>193</v>
      </c>
      <c r="E192" s="191" t="s">
        <v>128</v>
      </c>
      <c r="F192" s="212" t="s">
        <v>59</v>
      </c>
      <c r="G192" s="193">
        <v>1</v>
      </c>
      <c r="H192" s="103">
        <f>ROUNDUP($H$191/2,0)</f>
        <v>24</v>
      </c>
      <c r="I192" s="236"/>
      <c r="J192" s="133"/>
      <c r="K192" s="194">
        <f>I192</f>
        <v>0</v>
      </c>
      <c r="L192" s="194">
        <f>I192*H192</f>
        <v>0</v>
      </c>
      <c r="M192" s="114"/>
      <c r="N192" s="131">
        <f>L192</f>
        <v>0</v>
      </c>
      <c r="P192" s="132"/>
      <c r="Z192" s="195"/>
    </row>
    <row r="193" spans="1:26" s="170" customFormat="1" ht="12.75" outlineLevel="1" x14ac:dyDescent="0.25">
      <c r="A193" s="218" t="s">
        <v>358</v>
      </c>
      <c r="B193" s="202"/>
      <c r="C193" s="203"/>
      <c r="D193" s="219" t="s">
        <v>196</v>
      </c>
      <c r="E193" s="191" t="s">
        <v>128</v>
      </c>
      <c r="F193" s="212" t="s">
        <v>59</v>
      </c>
      <c r="G193" s="193">
        <v>1</v>
      </c>
      <c r="H193" s="103">
        <f>ROUNDUP($H$191/2,0)</f>
        <v>24</v>
      </c>
      <c r="I193" s="236"/>
      <c r="J193" s="133"/>
      <c r="K193" s="194">
        <f>I193</f>
        <v>0</v>
      </c>
      <c r="L193" s="194">
        <f>I193*H193</f>
        <v>0</v>
      </c>
      <c r="M193" s="114"/>
      <c r="N193" s="131">
        <f>L193</f>
        <v>0</v>
      </c>
      <c r="P193" s="132"/>
      <c r="Z193" s="195"/>
    </row>
    <row r="194" spans="1:26" s="170" customFormat="1" ht="12.75" outlineLevel="1" x14ac:dyDescent="0.25">
      <c r="A194" s="218" t="s">
        <v>359</v>
      </c>
      <c r="B194" s="202"/>
      <c r="C194" s="203"/>
      <c r="D194" s="219" t="s">
        <v>195</v>
      </c>
      <c r="E194" s="191" t="s">
        <v>128</v>
      </c>
      <c r="F194" s="212" t="s">
        <v>59</v>
      </c>
      <c r="G194" s="193">
        <v>1</v>
      </c>
      <c r="H194" s="103">
        <f>ROUNDUP($H$191/2,0)</f>
        <v>24</v>
      </c>
      <c r="I194" s="236"/>
      <c r="J194" s="133"/>
      <c r="K194" s="194">
        <f>I194</f>
        <v>0</v>
      </c>
      <c r="L194" s="194">
        <f>I194*H194</f>
        <v>0</v>
      </c>
      <c r="M194" s="114"/>
      <c r="N194" s="131">
        <f>L194</f>
        <v>0</v>
      </c>
      <c r="P194" s="132"/>
      <c r="Z194" s="195"/>
    </row>
    <row r="195" spans="1:26" s="170" customFormat="1" ht="12.75" outlineLevel="1" x14ac:dyDescent="0.25">
      <c r="A195" s="218" t="s">
        <v>360</v>
      </c>
      <c r="B195" s="202"/>
      <c r="C195" s="203"/>
      <c r="D195" s="219" t="s">
        <v>194</v>
      </c>
      <c r="E195" s="191" t="s">
        <v>128</v>
      </c>
      <c r="F195" s="212" t="s">
        <v>59</v>
      </c>
      <c r="G195" s="193">
        <v>1</v>
      </c>
      <c r="H195" s="103">
        <f>ROUNDUP($H$191/2,0)</f>
        <v>24</v>
      </c>
      <c r="I195" s="236"/>
      <c r="J195" s="133"/>
      <c r="K195" s="194">
        <f>I195</f>
        <v>0</v>
      </c>
      <c r="L195" s="194">
        <f>I195*H195</f>
        <v>0</v>
      </c>
      <c r="M195" s="114"/>
      <c r="N195" s="131">
        <f>L195</f>
        <v>0</v>
      </c>
      <c r="P195" s="132"/>
      <c r="Z195" s="195"/>
    </row>
    <row r="196" spans="1:26" s="170" customFormat="1" x14ac:dyDescent="0.25">
      <c r="A196" s="220"/>
      <c r="B196" s="221"/>
      <c r="C196" s="115"/>
      <c r="D196" s="273" t="s">
        <v>298</v>
      </c>
      <c r="E196" s="107"/>
      <c r="F196" s="107"/>
      <c r="G196" s="107"/>
      <c r="H196" s="108"/>
      <c r="I196" s="274"/>
      <c r="J196" s="275"/>
      <c r="K196" s="110"/>
      <c r="L196" s="119"/>
      <c r="M196" s="119"/>
      <c r="N196" s="119"/>
      <c r="P196" s="132"/>
      <c r="Z196" s="195"/>
    </row>
    <row r="197" spans="1:26" s="170" customFormat="1" ht="25.5" x14ac:dyDescent="0.25">
      <c r="A197" s="171">
        <v>10</v>
      </c>
      <c r="B197" s="172"/>
      <c r="C197" s="172"/>
      <c r="D197" s="173" t="s">
        <v>227</v>
      </c>
      <c r="E197" s="125"/>
      <c r="F197" s="174"/>
      <c r="G197" s="175"/>
      <c r="H197" s="128"/>
      <c r="I197" s="240"/>
      <c r="J197" s="126"/>
      <c r="K197" s="176"/>
      <c r="L197" s="176"/>
      <c r="M197" s="127"/>
      <c r="N197" s="129"/>
      <c r="P197" s="132"/>
      <c r="Z197" s="195"/>
    </row>
    <row r="198" spans="1:26" s="170" customFormat="1" ht="25.5" outlineLevel="1" x14ac:dyDescent="0.25">
      <c r="A198" s="214" t="s">
        <v>361</v>
      </c>
      <c r="B198" s="215" t="s">
        <v>229</v>
      </c>
      <c r="C198" s="215"/>
      <c r="D198" s="216" t="s">
        <v>227</v>
      </c>
      <c r="E198" s="181" t="s">
        <v>6</v>
      </c>
      <c r="F198" s="217" t="s">
        <v>141</v>
      </c>
      <c r="G198" s="183"/>
      <c r="H198" s="104">
        <v>1</v>
      </c>
      <c r="I198" s="143"/>
      <c r="J198" s="144"/>
      <c r="K198" s="145">
        <f>J198</f>
        <v>0</v>
      </c>
      <c r="L198" s="145"/>
      <c r="M198" s="146">
        <f>J198*H198</f>
        <v>0</v>
      </c>
      <c r="N198" s="147">
        <f>M198</f>
        <v>0</v>
      </c>
      <c r="P198" s="185" t="s">
        <v>211</v>
      </c>
      <c r="Z198" s="195"/>
    </row>
    <row r="199" spans="1:26" s="149" customFormat="1" x14ac:dyDescent="0.2">
      <c r="A199" s="220"/>
      <c r="B199" s="221"/>
      <c r="C199" s="115"/>
      <c r="D199" s="115" t="s">
        <v>27</v>
      </c>
      <c r="E199" s="107"/>
      <c r="F199" s="107"/>
      <c r="G199" s="107"/>
      <c r="H199" s="108"/>
      <c r="I199" s="109"/>
      <c r="J199" s="110"/>
      <c r="K199" s="110"/>
      <c r="L199" s="119">
        <f>SUM(L15:L198)</f>
        <v>0</v>
      </c>
      <c r="M199" s="119">
        <f t="shared" ref="M199:N199" si="68">SUM(M15:M198)</f>
        <v>0</v>
      </c>
      <c r="N199" s="119">
        <f t="shared" si="68"/>
        <v>0</v>
      </c>
      <c r="P199" s="177"/>
    </row>
    <row r="200" spans="1:26" ht="15.75" thickBot="1" x14ac:dyDescent="0.3">
      <c r="A200" s="222"/>
      <c r="B200" s="223"/>
      <c r="C200" s="116"/>
      <c r="D200" s="116" t="s">
        <v>74</v>
      </c>
      <c r="E200" s="116"/>
      <c r="F200" s="116"/>
      <c r="G200" s="139"/>
      <c r="H200" s="124"/>
      <c r="I200" s="141"/>
      <c r="J200" s="116"/>
      <c r="K200" s="116"/>
      <c r="L200" s="118"/>
      <c r="M200" s="118"/>
      <c r="N200" s="117">
        <f>N199/1.22*0.22</f>
        <v>0</v>
      </c>
      <c r="P200" s="177"/>
    </row>
    <row r="201" spans="1:26" s="227" customFormat="1" x14ac:dyDescent="0.25">
      <c r="A201" s="224" t="s">
        <v>75</v>
      </c>
      <c r="B201" s="225"/>
      <c r="C201" s="225"/>
      <c r="D201" s="225"/>
      <c r="E201" s="225"/>
      <c r="F201" s="225"/>
      <c r="G201" s="225"/>
      <c r="H201" s="225"/>
      <c r="I201" s="225"/>
      <c r="J201" s="225"/>
      <c r="K201" s="225"/>
      <c r="L201" s="225"/>
      <c r="M201" s="225"/>
      <c r="N201" s="226"/>
      <c r="P201" s="177"/>
    </row>
    <row r="202" spans="1:26" s="227" customFormat="1" x14ac:dyDescent="0.25">
      <c r="A202" s="241" t="s">
        <v>12</v>
      </c>
      <c r="B202" s="242"/>
      <c r="C202" s="242"/>
      <c r="D202" s="243" t="s">
        <v>76</v>
      </c>
      <c r="E202" s="242"/>
      <c r="F202" s="242"/>
      <c r="G202" s="242"/>
      <c r="H202" s="242"/>
      <c r="I202" s="242"/>
      <c r="J202" s="242"/>
      <c r="K202" s="242"/>
      <c r="L202" s="242"/>
      <c r="M202" s="242"/>
      <c r="N202" s="244"/>
      <c r="P202" s="177"/>
    </row>
    <row r="203" spans="1:26" s="228" customFormat="1" x14ac:dyDescent="0.25">
      <c r="A203" s="241" t="s">
        <v>7</v>
      </c>
      <c r="B203" s="242"/>
      <c r="C203" s="242"/>
      <c r="D203" s="243" t="s">
        <v>77</v>
      </c>
      <c r="E203" s="242"/>
      <c r="F203" s="242"/>
      <c r="G203" s="242"/>
      <c r="H203" s="242"/>
      <c r="I203" s="242"/>
      <c r="J203" s="242"/>
      <c r="K203" s="242"/>
      <c r="L203" s="242"/>
      <c r="M203" s="242"/>
      <c r="N203" s="244"/>
      <c r="P203" s="177"/>
    </row>
    <row r="204" spans="1:26" s="228" customFormat="1" x14ac:dyDescent="0.25">
      <c r="A204" s="241" t="s">
        <v>60</v>
      </c>
      <c r="B204" s="242"/>
      <c r="C204" s="242"/>
      <c r="D204" s="243" t="s">
        <v>78</v>
      </c>
      <c r="E204" s="242"/>
      <c r="F204" s="242"/>
      <c r="G204" s="242"/>
      <c r="H204" s="242"/>
      <c r="I204" s="242"/>
      <c r="J204" s="242"/>
      <c r="K204" s="242"/>
      <c r="L204" s="242"/>
      <c r="M204" s="242"/>
      <c r="N204" s="244"/>
      <c r="P204" s="177"/>
    </row>
    <row r="205" spans="1:26" s="228" customFormat="1" ht="25.5" x14ac:dyDescent="0.25">
      <c r="A205" s="241" t="s">
        <v>61</v>
      </c>
      <c r="B205" s="242"/>
      <c r="C205" s="242"/>
      <c r="D205" s="243" t="s">
        <v>79</v>
      </c>
      <c r="E205" s="242"/>
      <c r="F205" s="242"/>
      <c r="G205" s="242"/>
      <c r="H205" s="242"/>
      <c r="I205" s="242"/>
      <c r="J205" s="242"/>
      <c r="K205" s="242"/>
      <c r="L205" s="242"/>
      <c r="M205" s="242"/>
      <c r="N205" s="244"/>
      <c r="P205" s="177"/>
    </row>
    <row r="206" spans="1:26" s="227" customFormat="1" x14ac:dyDescent="0.25">
      <c r="A206" s="245" t="s">
        <v>62</v>
      </c>
      <c r="B206" s="246"/>
      <c r="C206" s="246"/>
      <c r="D206" s="243" t="s">
        <v>80</v>
      </c>
      <c r="E206" s="247"/>
      <c r="F206" s="247"/>
      <c r="G206" s="247"/>
      <c r="H206" s="247"/>
      <c r="I206" s="248"/>
      <c r="J206" s="248"/>
      <c r="K206" s="248"/>
      <c r="L206" s="248"/>
      <c r="M206" s="248"/>
      <c r="N206" s="249"/>
      <c r="P206" s="177"/>
    </row>
    <row r="207" spans="1:26" s="227" customFormat="1" ht="15.75" x14ac:dyDescent="0.25">
      <c r="A207" s="241" t="s">
        <v>87</v>
      </c>
      <c r="B207" s="120"/>
      <c r="C207" s="120"/>
      <c r="D207" s="243" t="s">
        <v>81</v>
      </c>
      <c r="E207" s="121"/>
      <c r="F207" s="121"/>
      <c r="G207" s="120"/>
      <c r="H207" s="122"/>
      <c r="I207" s="121"/>
      <c r="J207" s="121"/>
      <c r="K207" s="120"/>
      <c r="L207" s="120"/>
      <c r="M207" s="121"/>
      <c r="N207" s="123"/>
      <c r="P207" s="177"/>
    </row>
    <row r="208" spans="1:26" x14ac:dyDescent="0.25">
      <c r="A208" s="250">
        <v>7</v>
      </c>
      <c r="B208" s="251"/>
      <c r="C208" s="251"/>
      <c r="D208" s="243" t="s">
        <v>82</v>
      </c>
      <c r="E208" s="252"/>
      <c r="F208" s="251"/>
      <c r="G208" s="251"/>
      <c r="H208" s="253"/>
      <c r="I208" s="253"/>
      <c r="J208" s="251"/>
      <c r="K208" s="251"/>
      <c r="L208" s="251"/>
      <c r="M208" s="251"/>
      <c r="N208" s="254"/>
      <c r="P208" s="177"/>
    </row>
    <row r="209" spans="1:16" x14ac:dyDescent="0.25">
      <c r="A209" s="250">
        <v>8</v>
      </c>
      <c r="B209" s="251"/>
      <c r="C209" s="251"/>
      <c r="D209" s="243" t="s">
        <v>83</v>
      </c>
      <c r="E209" s="252"/>
      <c r="F209" s="251"/>
      <c r="G209" s="251"/>
      <c r="H209" s="253"/>
      <c r="I209" s="253"/>
      <c r="J209" s="251"/>
      <c r="K209" s="251"/>
      <c r="L209" s="251"/>
      <c r="M209" s="251"/>
      <c r="N209" s="254"/>
      <c r="P209" s="177"/>
    </row>
    <row r="210" spans="1:16" x14ac:dyDescent="0.25">
      <c r="A210" s="250">
        <v>9</v>
      </c>
      <c r="B210" s="251"/>
      <c r="C210" s="251"/>
      <c r="D210" s="243" t="s">
        <v>84</v>
      </c>
      <c r="E210" s="252"/>
      <c r="F210" s="251"/>
      <c r="G210" s="251"/>
      <c r="H210" s="253"/>
      <c r="I210" s="253"/>
      <c r="J210" s="251"/>
      <c r="K210" s="251"/>
      <c r="L210" s="251"/>
      <c r="M210" s="251"/>
      <c r="N210" s="254"/>
      <c r="P210" s="266"/>
    </row>
    <row r="211" spans="1:16" x14ac:dyDescent="0.25">
      <c r="A211" s="250">
        <v>10</v>
      </c>
      <c r="B211" s="251"/>
      <c r="C211" s="251"/>
      <c r="D211" s="255" t="s">
        <v>85</v>
      </c>
      <c r="E211" s="252"/>
      <c r="F211" s="251"/>
      <c r="G211" s="251"/>
      <c r="H211" s="253"/>
      <c r="I211" s="253"/>
      <c r="J211" s="251"/>
      <c r="K211" s="251"/>
      <c r="L211" s="251"/>
      <c r="M211" s="251"/>
      <c r="N211" s="254"/>
      <c r="P211" s="177"/>
    </row>
    <row r="212" spans="1:16" ht="15.75" thickBot="1" x14ac:dyDescent="0.3">
      <c r="A212" s="256">
        <v>11</v>
      </c>
      <c r="B212" s="257"/>
      <c r="C212" s="257"/>
      <c r="D212" s="258" t="s">
        <v>86</v>
      </c>
      <c r="E212" s="259"/>
      <c r="F212" s="257"/>
      <c r="G212" s="257"/>
      <c r="H212" s="260"/>
      <c r="I212" s="260"/>
      <c r="J212" s="257"/>
      <c r="K212" s="257"/>
      <c r="L212" s="257"/>
      <c r="M212" s="257"/>
      <c r="N212" s="261"/>
      <c r="P212" s="177"/>
    </row>
    <row r="213" spans="1:16" x14ac:dyDescent="0.25">
      <c r="P213" s="233"/>
    </row>
    <row r="214" spans="1:16" x14ac:dyDescent="0.25">
      <c r="P214" s="233"/>
    </row>
    <row r="215" spans="1:16" x14ac:dyDescent="0.25">
      <c r="P215" s="233"/>
    </row>
    <row r="216" spans="1:16" x14ac:dyDescent="0.25">
      <c r="P216" s="233"/>
    </row>
    <row r="217" spans="1:16" x14ac:dyDescent="0.25">
      <c r="P217" s="234"/>
    </row>
    <row r="218" spans="1:16" x14ac:dyDescent="0.25">
      <c r="P218" s="233"/>
    </row>
    <row r="219" spans="1:16" x14ac:dyDescent="0.25">
      <c r="P219" s="233"/>
    </row>
    <row r="220" spans="1:16" x14ac:dyDescent="0.25">
      <c r="P220" s="233"/>
    </row>
    <row r="221" spans="1:16" x14ac:dyDescent="0.25">
      <c r="P221" s="233"/>
    </row>
    <row r="222" spans="1:16" x14ac:dyDescent="0.25">
      <c r="P222" s="233"/>
    </row>
    <row r="223" spans="1:16" x14ac:dyDescent="0.25">
      <c r="P223" s="233"/>
    </row>
    <row r="224" spans="1:16" x14ac:dyDescent="0.25">
      <c r="P224" s="233"/>
    </row>
    <row r="225" spans="16:16" x14ac:dyDescent="0.25">
      <c r="P225" s="233"/>
    </row>
    <row r="226" spans="16:16" x14ac:dyDescent="0.25">
      <c r="P226" s="233"/>
    </row>
    <row r="227" spans="16:16" x14ac:dyDescent="0.25">
      <c r="P227" s="233"/>
    </row>
    <row r="228" spans="16:16" x14ac:dyDescent="0.25">
      <c r="P228" s="233"/>
    </row>
    <row r="229" spans="16:16" x14ac:dyDescent="0.25">
      <c r="P229" s="233"/>
    </row>
    <row r="230" spans="16:16" x14ac:dyDescent="0.25">
      <c r="P230" s="233"/>
    </row>
    <row r="231" spans="16:16" x14ac:dyDescent="0.25">
      <c r="P231" s="233"/>
    </row>
    <row r="232" spans="16:16" x14ac:dyDescent="0.25">
      <c r="P232" s="233"/>
    </row>
    <row r="233" spans="16:16" x14ac:dyDescent="0.25">
      <c r="P233" s="233"/>
    </row>
    <row r="234" spans="16:16" x14ac:dyDescent="0.25">
      <c r="P234" s="234"/>
    </row>
    <row r="235" spans="16:16" x14ac:dyDescent="0.25">
      <c r="P235" s="233"/>
    </row>
    <row r="236" spans="16:16" x14ac:dyDescent="0.25">
      <c r="P236" s="233"/>
    </row>
    <row r="237" spans="16:16" x14ac:dyDescent="0.25">
      <c r="P237" s="233"/>
    </row>
    <row r="238" spans="16:16" x14ac:dyDescent="0.25">
      <c r="P238" s="233"/>
    </row>
    <row r="239" spans="16:16" x14ac:dyDescent="0.25">
      <c r="P239" s="233"/>
    </row>
    <row r="240" spans="16:16" x14ac:dyDescent="0.25">
      <c r="P240" s="234"/>
    </row>
    <row r="241" spans="16:16" x14ac:dyDescent="0.25">
      <c r="P241" s="233"/>
    </row>
    <row r="242" spans="16:16" x14ac:dyDescent="0.25">
      <c r="P242" s="233"/>
    </row>
    <row r="243" spans="16:16" x14ac:dyDescent="0.25">
      <c r="P243" s="233"/>
    </row>
    <row r="244" spans="16:16" x14ac:dyDescent="0.25">
      <c r="P244" s="234"/>
    </row>
    <row r="245" spans="16:16" x14ac:dyDescent="0.25">
      <c r="P245" s="233"/>
    </row>
    <row r="246" spans="16:16" x14ac:dyDescent="0.25">
      <c r="P246" s="233"/>
    </row>
    <row r="247" spans="16:16" x14ac:dyDescent="0.25">
      <c r="P247" s="233"/>
    </row>
    <row r="248" spans="16:16" x14ac:dyDescent="0.25">
      <c r="P248" s="233"/>
    </row>
    <row r="249" spans="16:16" x14ac:dyDescent="0.25">
      <c r="P249" s="233"/>
    </row>
    <row r="250" spans="16:16" x14ac:dyDescent="0.25">
      <c r="P250" s="234"/>
    </row>
    <row r="251" spans="16:16" x14ac:dyDescent="0.25">
      <c r="P251" s="233"/>
    </row>
    <row r="252" spans="16:16" x14ac:dyDescent="0.25">
      <c r="P252" s="233"/>
    </row>
    <row r="253" spans="16:16" x14ac:dyDescent="0.25">
      <c r="P253" s="233"/>
    </row>
    <row r="254" spans="16:16" x14ac:dyDescent="0.25">
      <c r="P254" s="233"/>
    </row>
    <row r="255" spans="16:16" x14ac:dyDescent="0.25">
      <c r="P255" s="233"/>
    </row>
    <row r="256" spans="16:16" x14ac:dyDescent="0.25">
      <c r="P256" s="233"/>
    </row>
    <row r="257" spans="16:16" x14ac:dyDescent="0.25">
      <c r="P257" s="233"/>
    </row>
    <row r="258" spans="16:16" x14ac:dyDescent="0.25">
      <c r="P258" s="233"/>
    </row>
    <row r="259" spans="16:16" x14ac:dyDescent="0.25">
      <c r="P259" s="233"/>
    </row>
    <row r="260" spans="16:16" x14ac:dyDescent="0.25">
      <c r="P260" s="233"/>
    </row>
    <row r="261" spans="16:16" x14ac:dyDescent="0.25">
      <c r="P261" s="233"/>
    </row>
    <row r="262" spans="16:16" x14ac:dyDescent="0.25">
      <c r="P262" s="233"/>
    </row>
    <row r="263" spans="16:16" x14ac:dyDescent="0.25">
      <c r="P263" s="233"/>
    </row>
    <row r="264" spans="16:16" x14ac:dyDescent="0.25">
      <c r="P264" s="233"/>
    </row>
    <row r="265" spans="16:16" x14ac:dyDescent="0.25">
      <c r="P265" s="233"/>
    </row>
    <row r="266" spans="16:16" x14ac:dyDescent="0.25">
      <c r="P266" s="233"/>
    </row>
    <row r="267" spans="16:16" x14ac:dyDescent="0.25">
      <c r="P267" s="233"/>
    </row>
    <row r="268" spans="16:16" x14ac:dyDescent="0.25">
      <c r="P268" s="233"/>
    </row>
    <row r="269" spans="16:16" x14ac:dyDescent="0.25">
      <c r="P269" s="233"/>
    </row>
    <row r="270" spans="16:16" x14ac:dyDescent="0.25">
      <c r="P270" s="233"/>
    </row>
    <row r="271" spans="16:16" x14ac:dyDescent="0.25">
      <c r="P271" s="233"/>
    </row>
    <row r="272" spans="16:16" x14ac:dyDescent="0.25">
      <c r="P272" s="233"/>
    </row>
    <row r="273" spans="16:16" x14ac:dyDescent="0.25">
      <c r="P273" s="233"/>
    </row>
    <row r="274" spans="16:16" x14ac:dyDescent="0.25">
      <c r="P274" s="233"/>
    </row>
    <row r="275" spans="16:16" x14ac:dyDescent="0.25">
      <c r="P275" s="233"/>
    </row>
    <row r="276" spans="16:16" x14ac:dyDescent="0.25">
      <c r="P276" s="233"/>
    </row>
    <row r="277" spans="16:16" x14ac:dyDescent="0.25">
      <c r="P277" s="233"/>
    </row>
    <row r="278" spans="16:16" x14ac:dyDescent="0.25">
      <c r="P278" s="233"/>
    </row>
    <row r="279" spans="16:16" x14ac:dyDescent="0.25">
      <c r="P279" s="233"/>
    </row>
    <row r="280" spans="16:16" x14ac:dyDescent="0.25">
      <c r="P280" s="233"/>
    </row>
    <row r="281" spans="16:16" x14ac:dyDescent="0.25">
      <c r="P281" s="233"/>
    </row>
    <row r="282" spans="16:16" x14ac:dyDescent="0.25">
      <c r="P282" s="233"/>
    </row>
    <row r="283" spans="16:16" x14ac:dyDescent="0.25">
      <c r="P283" s="233"/>
    </row>
    <row r="284" spans="16:16" x14ac:dyDescent="0.25">
      <c r="P284" s="233"/>
    </row>
    <row r="285" spans="16:16" x14ac:dyDescent="0.25">
      <c r="P285" s="233"/>
    </row>
    <row r="286" spans="16:16" x14ac:dyDescent="0.25">
      <c r="P286" s="233"/>
    </row>
    <row r="287" spans="16:16" x14ac:dyDescent="0.25">
      <c r="P287" s="233"/>
    </row>
    <row r="288" spans="16:16" x14ac:dyDescent="0.25">
      <c r="P288" s="233"/>
    </row>
    <row r="289" spans="16:16" x14ac:dyDescent="0.25">
      <c r="P289" s="233"/>
    </row>
    <row r="290" spans="16:16" x14ac:dyDescent="0.25">
      <c r="P290" s="233"/>
    </row>
    <row r="291" spans="16:16" x14ac:dyDescent="0.25">
      <c r="P291" s="233"/>
    </row>
    <row r="292" spans="16:16" x14ac:dyDescent="0.25">
      <c r="P292" s="233"/>
    </row>
    <row r="293" spans="16:16" x14ac:dyDescent="0.25">
      <c r="P293" s="233"/>
    </row>
    <row r="294" spans="16:16" x14ac:dyDescent="0.25">
      <c r="P294" s="233"/>
    </row>
    <row r="295" spans="16:16" x14ac:dyDescent="0.25">
      <c r="P295" s="233"/>
    </row>
    <row r="296" spans="16:16" x14ac:dyDescent="0.25">
      <c r="P296" s="233"/>
    </row>
    <row r="297" spans="16:16" x14ac:dyDescent="0.25">
      <c r="P297" s="233"/>
    </row>
    <row r="298" spans="16:16" x14ac:dyDescent="0.25">
      <c r="P298" s="233"/>
    </row>
    <row r="299" spans="16:16" x14ac:dyDescent="0.25">
      <c r="P299" s="233"/>
    </row>
    <row r="300" spans="16:16" x14ac:dyDescent="0.25">
      <c r="P300" s="233"/>
    </row>
    <row r="301" spans="16:16" x14ac:dyDescent="0.25">
      <c r="P301" s="233"/>
    </row>
    <row r="302" spans="16:16" x14ac:dyDescent="0.25">
      <c r="P302" s="233"/>
    </row>
    <row r="303" spans="16:16" x14ac:dyDescent="0.25">
      <c r="P303" s="233"/>
    </row>
    <row r="304" spans="16:16" x14ac:dyDescent="0.25">
      <c r="P304" s="233"/>
    </row>
    <row r="305" spans="16:16" x14ac:dyDescent="0.25">
      <c r="P305" s="233"/>
    </row>
    <row r="306" spans="16:16" x14ac:dyDescent="0.25">
      <c r="P306" s="233"/>
    </row>
    <row r="307" spans="16:16" x14ac:dyDescent="0.25">
      <c r="P307" s="233"/>
    </row>
    <row r="308" spans="16:16" x14ac:dyDescent="0.25">
      <c r="P308" s="233"/>
    </row>
    <row r="309" spans="16:16" x14ac:dyDescent="0.25">
      <c r="P309" s="233"/>
    </row>
    <row r="310" spans="16:16" x14ac:dyDescent="0.25">
      <c r="P310" s="233"/>
    </row>
    <row r="311" spans="16:16" x14ac:dyDescent="0.25">
      <c r="P311" s="233"/>
    </row>
    <row r="312" spans="16:16" x14ac:dyDescent="0.25">
      <c r="P312" s="233"/>
    </row>
    <row r="313" spans="16:16" x14ac:dyDescent="0.25">
      <c r="P313" s="233"/>
    </row>
    <row r="314" spans="16:16" x14ac:dyDescent="0.25">
      <c r="P314" s="233"/>
    </row>
    <row r="315" spans="16:16" x14ac:dyDescent="0.25">
      <c r="P315" s="233"/>
    </row>
    <row r="316" spans="16:16" x14ac:dyDescent="0.25">
      <c r="P316" s="233"/>
    </row>
    <row r="317" spans="16:16" x14ac:dyDescent="0.25">
      <c r="P317" s="233"/>
    </row>
    <row r="318" spans="16:16" x14ac:dyDescent="0.25">
      <c r="P318" s="233"/>
    </row>
    <row r="319" spans="16:16" x14ac:dyDescent="0.25">
      <c r="P319" s="233"/>
    </row>
    <row r="320" spans="16:16" x14ac:dyDescent="0.25">
      <c r="P320" s="233"/>
    </row>
    <row r="321" spans="16:16" x14ac:dyDescent="0.25">
      <c r="P321" s="233"/>
    </row>
    <row r="322" spans="16:16" x14ac:dyDescent="0.25">
      <c r="P322" s="233"/>
    </row>
    <row r="323" spans="16:16" x14ac:dyDescent="0.25">
      <c r="P323" s="233"/>
    </row>
    <row r="324" spans="16:16" x14ac:dyDescent="0.25">
      <c r="P324" s="233"/>
    </row>
    <row r="325" spans="16:16" x14ac:dyDescent="0.25">
      <c r="P325" s="233"/>
    </row>
    <row r="326" spans="16:16" x14ac:dyDescent="0.25">
      <c r="P326" s="233"/>
    </row>
    <row r="327" spans="16:16" x14ac:dyDescent="0.25">
      <c r="P327" s="233"/>
    </row>
    <row r="328" spans="16:16" x14ac:dyDescent="0.25">
      <c r="P328" s="233"/>
    </row>
    <row r="329" spans="16:16" x14ac:dyDescent="0.25">
      <c r="P329" s="233"/>
    </row>
    <row r="330" spans="16:16" x14ac:dyDescent="0.25">
      <c r="P330" s="233"/>
    </row>
    <row r="331" spans="16:16" x14ac:dyDescent="0.25">
      <c r="P331" s="233"/>
    </row>
    <row r="332" spans="16:16" x14ac:dyDescent="0.25">
      <c r="P332" s="233"/>
    </row>
    <row r="333" spans="16:16" x14ac:dyDescent="0.25">
      <c r="P333" s="233"/>
    </row>
    <row r="334" spans="16:16" x14ac:dyDescent="0.25">
      <c r="P334" s="233"/>
    </row>
    <row r="335" spans="16:16" x14ac:dyDescent="0.25">
      <c r="P335" s="233"/>
    </row>
    <row r="336" spans="16:16" x14ac:dyDescent="0.25">
      <c r="P336" s="233"/>
    </row>
    <row r="337" spans="16:16" x14ac:dyDescent="0.25">
      <c r="P337" s="233"/>
    </row>
    <row r="338" spans="16:16" x14ac:dyDescent="0.25">
      <c r="P338" s="233"/>
    </row>
    <row r="339" spans="16:16" x14ac:dyDescent="0.25">
      <c r="P339" s="233"/>
    </row>
    <row r="340" spans="16:16" x14ac:dyDescent="0.25">
      <c r="P340" s="233"/>
    </row>
    <row r="341" spans="16:16" x14ac:dyDescent="0.25">
      <c r="P341" s="233"/>
    </row>
    <row r="342" spans="16:16" x14ac:dyDescent="0.25">
      <c r="P342" s="233"/>
    </row>
    <row r="343" spans="16:16" x14ac:dyDescent="0.25">
      <c r="P343" s="233"/>
    </row>
    <row r="344" spans="16:16" x14ac:dyDescent="0.25">
      <c r="P344" s="233"/>
    </row>
    <row r="345" spans="16:16" x14ac:dyDescent="0.25">
      <c r="P345" s="233"/>
    </row>
    <row r="346" spans="16:16" x14ac:dyDescent="0.25">
      <c r="P346" s="233"/>
    </row>
    <row r="347" spans="16:16" x14ac:dyDescent="0.25">
      <c r="P347" s="233"/>
    </row>
    <row r="348" spans="16:16" x14ac:dyDescent="0.25">
      <c r="P348" s="233"/>
    </row>
    <row r="349" spans="16:16" x14ac:dyDescent="0.25">
      <c r="P349" s="233"/>
    </row>
    <row r="350" spans="16:16" x14ac:dyDescent="0.25">
      <c r="P350" s="233"/>
    </row>
    <row r="351" spans="16:16" x14ac:dyDescent="0.25">
      <c r="P351" s="233"/>
    </row>
    <row r="352" spans="16:16" x14ac:dyDescent="0.25">
      <c r="P352" s="233"/>
    </row>
    <row r="353" spans="16:16" x14ac:dyDescent="0.25">
      <c r="P353" s="233"/>
    </row>
    <row r="354" spans="16:16" x14ac:dyDescent="0.25">
      <c r="P354" s="233"/>
    </row>
    <row r="355" spans="16:16" x14ac:dyDescent="0.25">
      <c r="P355" s="233"/>
    </row>
    <row r="356" spans="16:16" x14ac:dyDescent="0.25">
      <c r="P356" s="233"/>
    </row>
    <row r="357" spans="16:16" x14ac:dyDescent="0.25">
      <c r="P357" s="233"/>
    </row>
    <row r="358" spans="16:16" x14ac:dyDescent="0.25">
      <c r="P358" s="233"/>
    </row>
    <row r="359" spans="16:16" x14ac:dyDescent="0.25">
      <c r="P359" s="233"/>
    </row>
    <row r="360" spans="16:16" x14ac:dyDescent="0.25">
      <c r="P360" s="233"/>
    </row>
    <row r="361" spans="16:16" x14ac:dyDescent="0.25">
      <c r="P361" s="233"/>
    </row>
    <row r="362" spans="16:16" x14ac:dyDescent="0.25">
      <c r="P362" s="233"/>
    </row>
    <row r="363" spans="16:16" x14ac:dyDescent="0.25">
      <c r="P363" s="233"/>
    </row>
    <row r="364" spans="16:16" x14ac:dyDescent="0.25">
      <c r="P364" s="233"/>
    </row>
    <row r="365" spans="16:16" x14ac:dyDescent="0.25">
      <c r="P365" s="233"/>
    </row>
    <row r="366" spans="16:16" x14ac:dyDescent="0.25">
      <c r="P366" s="233"/>
    </row>
    <row r="367" spans="16:16" x14ac:dyDescent="0.25">
      <c r="P367" s="233"/>
    </row>
    <row r="368" spans="16:16" x14ac:dyDescent="0.25">
      <c r="P368" s="233"/>
    </row>
    <row r="369" spans="16:16" x14ac:dyDescent="0.25">
      <c r="P369" s="233"/>
    </row>
    <row r="370" spans="16:16" x14ac:dyDescent="0.25">
      <c r="P370" s="233"/>
    </row>
    <row r="371" spans="16:16" x14ac:dyDescent="0.25">
      <c r="P371" s="233"/>
    </row>
    <row r="372" spans="16:16" x14ac:dyDescent="0.25">
      <c r="P372" s="233"/>
    </row>
    <row r="373" spans="16:16" x14ac:dyDescent="0.25">
      <c r="P373" s="233"/>
    </row>
    <row r="374" spans="16:16" x14ac:dyDescent="0.25">
      <c r="P374" s="233"/>
    </row>
    <row r="375" spans="16:16" x14ac:dyDescent="0.25">
      <c r="P375" s="233"/>
    </row>
    <row r="376" spans="16:16" x14ac:dyDescent="0.25">
      <c r="P376" s="233"/>
    </row>
    <row r="377" spans="16:16" x14ac:dyDescent="0.25">
      <c r="P377" s="233"/>
    </row>
    <row r="378" spans="16:16" x14ac:dyDescent="0.25">
      <c r="P378" s="233"/>
    </row>
    <row r="379" spans="16:16" x14ac:dyDescent="0.25">
      <c r="P379" s="233"/>
    </row>
    <row r="380" spans="16:16" x14ac:dyDescent="0.25">
      <c r="P380" s="233"/>
    </row>
    <row r="381" spans="16:16" x14ac:dyDescent="0.25">
      <c r="P381" s="233"/>
    </row>
    <row r="382" spans="16:16" x14ac:dyDescent="0.25">
      <c r="P382" s="233"/>
    </row>
    <row r="383" spans="16:16" x14ac:dyDescent="0.25">
      <c r="P383" s="233"/>
    </row>
    <row r="384" spans="16:16" x14ac:dyDescent="0.25">
      <c r="P384" s="233"/>
    </row>
    <row r="385" spans="16:16" x14ac:dyDescent="0.25">
      <c r="P385" s="233"/>
    </row>
    <row r="386" spans="16:16" x14ac:dyDescent="0.25">
      <c r="P386" s="233"/>
    </row>
    <row r="387" spans="16:16" x14ac:dyDescent="0.25">
      <c r="P387" s="233"/>
    </row>
    <row r="388" spans="16:16" x14ac:dyDescent="0.25">
      <c r="P388" s="233"/>
    </row>
    <row r="389" spans="16:16" x14ac:dyDescent="0.25">
      <c r="P389" s="233"/>
    </row>
    <row r="390" spans="16:16" x14ac:dyDescent="0.25">
      <c r="P390" s="233"/>
    </row>
    <row r="391" spans="16:16" x14ac:dyDescent="0.25">
      <c r="P391" s="233"/>
    </row>
    <row r="392" spans="16:16" x14ac:dyDescent="0.25">
      <c r="P392" s="233"/>
    </row>
    <row r="393" spans="16:16" x14ac:dyDescent="0.25">
      <c r="P393" s="233"/>
    </row>
    <row r="394" spans="16:16" x14ac:dyDescent="0.25">
      <c r="P394" s="233"/>
    </row>
    <row r="395" spans="16:16" x14ac:dyDescent="0.25">
      <c r="P395" s="233"/>
    </row>
    <row r="396" spans="16:16" x14ac:dyDescent="0.25">
      <c r="P396" s="233"/>
    </row>
    <row r="397" spans="16:16" x14ac:dyDescent="0.25">
      <c r="P397" s="233"/>
    </row>
    <row r="398" spans="16:16" x14ac:dyDescent="0.25">
      <c r="P398" s="233"/>
    </row>
    <row r="399" spans="16:16" x14ac:dyDescent="0.25">
      <c r="P399" s="233"/>
    </row>
    <row r="400" spans="16:16" x14ac:dyDescent="0.25">
      <c r="P400" s="233"/>
    </row>
    <row r="401" spans="16:16" x14ac:dyDescent="0.25">
      <c r="P401" s="233"/>
    </row>
    <row r="402" spans="16:16" x14ac:dyDescent="0.25">
      <c r="P402" s="233"/>
    </row>
    <row r="403" spans="16:16" x14ac:dyDescent="0.25">
      <c r="P403" s="233"/>
    </row>
    <row r="404" spans="16:16" x14ac:dyDescent="0.25">
      <c r="P404" s="233"/>
    </row>
    <row r="405" spans="16:16" x14ac:dyDescent="0.25">
      <c r="P405" s="233"/>
    </row>
    <row r="406" spans="16:16" x14ac:dyDescent="0.25">
      <c r="P406" s="233"/>
    </row>
    <row r="407" spans="16:16" x14ac:dyDescent="0.25">
      <c r="P407" s="233"/>
    </row>
    <row r="408" spans="16:16" x14ac:dyDescent="0.25">
      <c r="P408" s="233"/>
    </row>
    <row r="409" spans="16:16" x14ac:dyDescent="0.25">
      <c r="P409" s="233"/>
    </row>
    <row r="410" spans="16:16" x14ac:dyDescent="0.25">
      <c r="P410" s="233"/>
    </row>
    <row r="411" spans="16:16" x14ac:dyDescent="0.25">
      <c r="P411" s="233"/>
    </row>
    <row r="412" spans="16:16" x14ac:dyDescent="0.25">
      <c r="P412" s="233"/>
    </row>
    <row r="413" spans="16:16" x14ac:dyDescent="0.25">
      <c r="P413" s="233"/>
    </row>
    <row r="414" spans="16:16" x14ac:dyDescent="0.25">
      <c r="P414" s="233"/>
    </row>
    <row r="415" spans="16:16" x14ac:dyDescent="0.25">
      <c r="P415" s="233"/>
    </row>
    <row r="416" spans="16:16" x14ac:dyDescent="0.25">
      <c r="P416" s="233"/>
    </row>
    <row r="417" spans="16:16" x14ac:dyDescent="0.25">
      <c r="P417" s="233"/>
    </row>
    <row r="418" spans="16:16" x14ac:dyDescent="0.25">
      <c r="P418" s="233"/>
    </row>
    <row r="419" spans="16:16" x14ac:dyDescent="0.25">
      <c r="P419" s="233"/>
    </row>
    <row r="420" spans="16:16" x14ac:dyDescent="0.25">
      <c r="P420" s="233"/>
    </row>
    <row r="421" spans="16:16" x14ac:dyDescent="0.25">
      <c r="P421" s="233"/>
    </row>
    <row r="422" spans="16:16" x14ac:dyDescent="0.25">
      <c r="P422" s="233"/>
    </row>
    <row r="423" spans="16:16" x14ac:dyDescent="0.25">
      <c r="P423" s="233"/>
    </row>
    <row r="424" spans="16:16" x14ac:dyDescent="0.25">
      <c r="P424" s="233"/>
    </row>
    <row r="425" spans="16:16" x14ac:dyDescent="0.25">
      <c r="P425" s="233"/>
    </row>
    <row r="426" spans="16:16" x14ac:dyDescent="0.25">
      <c r="P426" s="233"/>
    </row>
    <row r="427" spans="16:16" x14ac:dyDescent="0.25">
      <c r="P427" s="233"/>
    </row>
    <row r="428" spans="16:16" x14ac:dyDescent="0.25">
      <c r="P428" s="233"/>
    </row>
    <row r="429" spans="16:16" x14ac:dyDescent="0.25">
      <c r="P429" s="233"/>
    </row>
    <row r="430" spans="16:16" x14ac:dyDescent="0.25">
      <c r="P430" s="233"/>
    </row>
    <row r="431" spans="16:16" x14ac:dyDescent="0.25">
      <c r="P431" s="233"/>
    </row>
    <row r="432" spans="16:16" x14ac:dyDescent="0.25">
      <c r="P432" s="233"/>
    </row>
    <row r="433" spans="16:16" x14ac:dyDescent="0.25">
      <c r="P433" s="233"/>
    </row>
    <row r="434" spans="16:16" x14ac:dyDescent="0.25">
      <c r="P434" s="233"/>
    </row>
    <row r="435" spans="16:16" x14ac:dyDescent="0.25">
      <c r="P435" s="233"/>
    </row>
    <row r="436" spans="16:16" x14ac:dyDescent="0.25">
      <c r="P436" s="235"/>
    </row>
    <row r="437" spans="16:16" x14ac:dyDescent="0.25">
      <c r="P437" s="235"/>
    </row>
    <row r="438" spans="16:16" x14ac:dyDescent="0.25">
      <c r="P438" s="235"/>
    </row>
    <row r="439" spans="16:16" x14ac:dyDescent="0.25">
      <c r="P439" s="235"/>
    </row>
    <row r="440" spans="16:16" x14ac:dyDescent="0.25">
      <c r="P440" s="235"/>
    </row>
    <row r="441" spans="16:16" x14ac:dyDescent="0.25">
      <c r="P441" s="235"/>
    </row>
    <row r="442" spans="16:16" x14ac:dyDescent="0.25">
      <c r="P442" s="235"/>
    </row>
    <row r="443" spans="16:16" x14ac:dyDescent="0.25">
      <c r="P443" s="235"/>
    </row>
    <row r="444" spans="16:16" x14ac:dyDescent="0.25">
      <c r="P444" s="235"/>
    </row>
    <row r="445" spans="16:16" x14ac:dyDescent="0.25">
      <c r="P445" s="235"/>
    </row>
    <row r="446" spans="16:16" x14ac:dyDescent="0.25">
      <c r="P446" s="235"/>
    </row>
    <row r="447" spans="16:16" x14ac:dyDescent="0.25">
      <c r="P447" s="235"/>
    </row>
    <row r="448" spans="16:16" x14ac:dyDescent="0.25">
      <c r="P448" s="235"/>
    </row>
    <row r="449" spans="16:16" x14ac:dyDescent="0.25">
      <c r="P449" s="235"/>
    </row>
    <row r="450" spans="16:16" x14ac:dyDescent="0.25">
      <c r="P450" s="235"/>
    </row>
    <row r="451" spans="16:16" x14ac:dyDescent="0.25">
      <c r="P451" s="235"/>
    </row>
    <row r="452" spans="16:16" x14ac:dyDescent="0.25">
      <c r="P452" s="235"/>
    </row>
    <row r="453" spans="16:16" x14ac:dyDescent="0.25">
      <c r="P453" s="235"/>
    </row>
    <row r="454" spans="16:16" x14ac:dyDescent="0.25">
      <c r="P454" s="235"/>
    </row>
    <row r="455" spans="16:16" x14ac:dyDescent="0.25">
      <c r="P455" s="235"/>
    </row>
    <row r="456" spans="16:16" x14ac:dyDescent="0.25">
      <c r="P456" s="235"/>
    </row>
    <row r="457" spans="16:16" x14ac:dyDescent="0.25">
      <c r="P457" s="235"/>
    </row>
    <row r="458" spans="16:16" x14ac:dyDescent="0.25">
      <c r="P458" s="235"/>
    </row>
    <row r="459" spans="16:16" x14ac:dyDescent="0.25">
      <c r="P459" s="235"/>
    </row>
    <row r="460" spans="16:16" x14ac:dyDescent="0.25">
      <c r="P460" s="235"/>
    </row>
    <row r="461" spans="16:16" x14ac:dyDescent="0.25">
      <c r="P461" s="235"/>
    </row>
    <row r="462" spans="16:16" x14ac:dyDescent="0.25">
      <c r="P462" s="235"/>
    </row>
    <row r="463" spans="16:16" x14ac:dyDescent="0.25">
      <c r="P463" s="235"/>
    </row>
    <row r="464" spans="16:16" x14ac:dyDescent="0.25">
      <c r="P464" s="235"/>
    </row>
    <row r="465" spans="16:16" x14ac:dyDescent="0.25">
      <c r="P465" s="235"/>
    </row>
    <row r="466" spans="16:16" x14ac:dyDescent="0.25">
      <c r="P466" s="235"/>
    </row>
    <row r="467" spans="16:16" x14ac:dyDescent="0.25">
      <c r="P467" s="235"/>
    </row>
    <row r="468" spans="16:16" x14ac:dyDescent="0.25">
      <c r="P468" s="235"/>
    </row>
    <row r="469" spans="16:16" x14ac:dyDescent="0.25">
      <c r="P469" s="235"/>
    </row>
    <row r="470" spans="16:16" x14ac:dyDescent="0.25">
      <c r="P470" s="235"/>
    </row>
    <row r="471" spans="16:16" x14ac:dyDescent="0.25">
      <c r="P471" s="235"/>
    </row>
    <row r="472" spans="16:16" x14ac:dyDescent="0.25">
      <c r="P472" s="235"/>
    </row>
    <row r="473" spans="16:16" x14ac:dyDescent="0.25">
      <c r="P473" s="235"/>
    </row>
    <row r="474" spans="16:16" x14ac:dyDescent="0.25">
      <c r="P474" s="235"/>
    </row>
    <row r="475" spans="16:16" x14ac:dyDescent="0.25">
      <c r="P475" s="235"/>
    </row>
    <row r="476" spans="16:16" x14ac:dyDescent="0.25">
      <c r="P476" s="235"/>
    </row>
    <row r="477" spans="16:16" x14ac:dyDescent="0.25">
      <c r="P477" s="235"/>
    </row>
    <row r="478" spans="16:16" x14ac:dyDescent="0.25">
      <c r="P478" s="235"/>
    </row>
    <row r="479" spans="16:16" x14ac:dyDescent="0.25">
      <c r="P479" s="235"/>
    </row>
    <row r="480" spans="16:16" x14ac:dyDescent="0.25">
      <c r="P480" s="235"/>
    </row>
    <row r="481" spans="16:16" x14ac:dyDescent="0.25">
      <c r="P481" s="235"/>
    </row>
    <row r="482" spans="16:16" x14ac:dyDescent="0.25">
      <c r="P482" s="235"/>
    </row>
    <row r="483" spans="16:16" x14ac:dyDescent="0.25">
      <c r="P483" s="235"/>
    </row>
    <row r="484" spans="16:16" x14ac:dyDescent="0.25">
      <c r="P484" s="235"/>
    </row>
    <row r="485" spans="16:16" x14ac:dyDescent="0.25">
      <c r="P485" s="235"/>
    </row>
    <row r="486" spans="16:16" x14ac:dyDescent="0.25">
      <c r="P486" s="235"/>
    </row>
    <row r="487" spans="16:16" x14ac:dyDescent="0.25">
      <c r="P487" s="235"/>
    </row>
    <row r="488" spans="16:16" x14ac:dyDescent="0.25">
      <c r="P488" s="235"/>
    </row>
    <row r="489" spans="16:16" x14ac:dyDescent="0.25">
      <c r="P489" s="235"/>
    </row>
    <row r="490" spans="16:16" x14ac:dyDescent="0.25">
      <c r="P490" s="235"/>
    </row>
    <row r="491" spans="16:16" x14ac:dyDescent="0.25">
      <c r="P491" s="235"/>
    </row>
    <row r="492" spans="16:16" x14ac:dyDescent="0.25">
      <c r="P492" s="235"/>
    </row>
    <row r="493" spans="16:16" x14ac:dyDescent="0.25">
      <c r="P493" s="235"/>
    </row>
    <row r="494" spans="16:16" x14ac:dyDescent="0.25">
      <c r="P494" s="235"/>
    </row>
    <row r="495" spans="16:16" x14ac:dyDescent="0.25">
      <c r="P495" s="235"/>
    </row>
    <row r="496" spans="16:16" x14ac:dyDescent="0.25">
      <c r="P496" s="235"/>
    </row>
    <row r="497" spans="16:16" x14ac:dyDescent="0.25">
      <c r="P497" s="235"/>
    </row>
    <row r="498" spans="16:16" x14ac:dyDescent="0.25">
      <c r="P498" s="235"/>
    </row>
    <row r="499" spans="16:16" x14ac:dyDescent="0.25">
      <c r="P499" s="235"/>
    </row>
    <row r="500" spans="16:16" x14ac:dyDescent="0.25">
      <c r="P500" s="235"/>
    </row>
    <row r="501" spans="16:16" x14ac:dyDescent="0.25">
      <c r="P501" s="235"/>
    </row>
    <row r="502" spans="16:16" x14ac:dyDescent="0.25">
      <c r="P502" s="235"/>
    </row>
    <row r="503" spans="16:16" x14ac:dyDescent="0.25">
      <c r="P503" s="235"/>
    </row>
    <row r="504" spans="16:16" x14ac:dyDescent="0.25">
      <c r="P504" s="235"/>
    </row>
    <row r="505" spans="16:16" x14ac:dyDescent="0.25">
      <c r="P505" s="235"/>
    </row>
    <row r="506" spans="16:16" x14ac:dyDescent="0.25">
      <c r="P506" s="235"/>
    </row>
    <row r="507" spans="16:16" x14ac:dyDescent="0.25">
      <c r="P507" s="235"/>
    </row>
    <row r="508" spans="16:16" x14ac:dyDescent="0.25">
      <c r="P508" s="235"/>
    </row>
    <row r="509" spans="16:16" x14ac:dyDescent="0.25">
      <c r="P509" s="235"/>
    </row>
    <row r="510" spans="16:16" x14ac:dyDescent="0.25">
      <c r="P510" s="235"/>
    </row>
    <row r="511" spans="16:16" x14ac:dyDescent="0.25">
      <c r="P511" s="235"/>
    </row>
    <row r="512" spans="16:16" x14ac:dyDescent="0.25">
      <c r="P512" s="235"/>
    </row>
    <row r="513" spans="16:16" x14ac:dyDescent="0.25">
      <c r="P513" s="235"/>
    </row>
    <row r="514" spans="16:16" x14ac:dyDescent="0.25">
      <c r="P514" s="235"/>
    </row>
    <row r="515" spans="16:16" x14ac:dyDescent="0.25">
      <c r="P515" s="235"/>
    </row>
    <row r="516" spans="16:16" x14ac:dyDescent="0.25">
      <c r="P516" s="235"/>
    </row>
    <row r="517" spans="16:16" x14ac:dyDescent="0.25">
      <c r="P517" s="235"/>
    </row>
    <row r="518" spans="16:16" x14ac:dyDescent="0.25">
      <c r="P518" s="235"/>
    </row>
    <row r="519" spans="16:16" x14ac:dyDescent="0.25">
      <c r="P519" s="235"/>
    </row>
    <row r="520" spans="16:16" x14ac:dyDescent="0.25">
      <c r="P520" s="235"/>
    </row>
    <row r="521" spans="16:16" x14ac:dyDescent="0.25">
      <c r="P521" s="235"/>
    </row>
    <row r="522" spans="16:16" x14ac:dyDescent="0.25">
      <c r="P522" s="235"/>
    </row>
    <row r="523" spans="16:16" x14ac:dyDescent="0.25">
      <c r="P523" s="235"/>
    </row>
    <row r="524" spans="16:16" x14ac:dyDescent="0.25">
      <c r="P524" s="235"/>
    </row>
    <row r="525" spans="16:16" x14ac:dyDescent="0.25">
      <c r="P525" s="235"/>
    </row>
    <row r="526" spans="16:16" x14ac:dyDescent="0.25">
      <c r="P526" s="235"/>
    </row>
    <row r="527" spans="16:16" x14ac:dyDescent="0.25">
      <c r="P527" s="235"/>
    </row>
    <row r="528" spans="16:16" x14ac:dyDescent="0.25">
      <c r="P528" s="235"/>
    </row>
    <row r="529" spans="16:16" x14ac:dyDescent="0.25">
      <c r="P529" s="235"/>
    </row>
    <row r="530" spans="16:16" x14ac:dyDescent="0.25">
      <c r="P530" s="235"/>
    </row>
    <row r="531" spans="16:16" x14ac:dyDescent="0.25">
      <c r="P531" s="235"/>
    </row>
    <row r="532" spans="16:16" x14ac:dyDescent="0.25">
      <c r="P532" s="235"/>
    </row>
    <row r="533" spans="16:16" x14ac:dyDescent="0.25">
      <c r="P533" s="235"/>
    </row>
    <row r="534" spans="16:16" x14ac:dyDescent="0.25">
      <c r="P534" s="235"/>
    </row>
    <row r="535" spans="16:16" x14ac:dyDescent="0.25">
      <c r="P535" s="235"/>
    </row>
    <row r="536" spans="16:16" x14ac:dyDescent="0.25">
      <c r="P536" s="235"/>
    </row>
    <row r="537" spans="16:16" x14ac:dyDescent="0.25">
      <c r="P537" s="235"/>
    </row>
    <row r="538" spans="16:16" x14ac:dyDescent="0.25">
      <c r="P538" s="235"/>
    </row>
    <row r="539" spans="16:16" x14ac:dyDescent="0.25">
      <c r="P539" s="235"/>
    </row>
    <row r="540" spans="16:16" x14ac:dyDescent="0.25">
      <c r="P540" s="235"/>
    </row>
    <row r="541" spans="16:16" x14ac:dyDescent="0.25">
      <c r="P541" s="235"/>
    </row>
    <row r="542" spans="16:16" x14ac:dyDescent="0.25">
      <c r="P542" s="235"/>
    </row>
    <row r="543" spans="16:16" x14ac:dyDescent="0.25">
      <c r="P543" s="235"/>
    </row>
    <row r="544" spans="16:16" x14ac:dyDescent="0.25">
      <c r="P544" s="235"/>
    </row>
    <row r="545" spans="16:16" x14ac:dyDescent="0.25">
      <c r="P545" s="235"/>
    </row>
    <row r="546" spans="16:16" x14ac:dyDescent="0.25">
      <c r="P546" s="235"/>
    </row>
    <row r="547" spans="16:16" x14ac:dyDescent="0.25">
      <c r="P547" s="235"/>
    </row>
    <row r="548" spans="16:16" x14ac:dyDescent="0.25">
      <c r="P548" s="235"/>
    </row>
    <row r="549" spans="16:16" x14ac:dyDescent="0.25">
      <c r="P549" s="235"/>
    </row>
    <row r="550" spans="16:16" x14ac:dyDescent="0.25">
      <c r="P550" s="235"/>
    </row>
    <row r="551" spans="16:16" x14ac:dyDescent="0.25">
      <c r="P551" s="235"/>
    </row>
    <row r="552" spans="16:16" x14ac:dyDescent="0.25">
      <c r="P552" s="235"/>
    </row>
    <row r="553" spans="16:16" x14ac:dyDescent="0.25">
      <c r="P553" s="235"/>
    </row>
    <row r="554" spans="16:16" x14ac:dyDescent="0.25">
      <c r="P554" s="235"/>
    </row>
    <row r="555" spans="16:16" x14ac:dyDescent="0.25">
      <c r="P555" s="235"/>
    </row>
    <row r="556" spans="16:16" x14ac:dyDescent="0.25">
      <c r="P556" s="235"/>
    </row>
    <row r="557" spans="16:16" x14ac:dyDescent="0.25">
      <c r="P557" s="235"/>
    </row>
    <row r="558" spans="16:16" x14ac:dyDescent="0.25">
      <c r="P558" s="235"/>
    </row>
    <row r="559" spans="16:16" x14ac:dyDescent="0.25">
      <c r="P559" s="235"/>
    </row>
    <row r="560" spans="16:16" x14ac:dyDescent="0.25">
      <c r="P560" s="235"/>
    </row>
    <row r="561" spans="16:16" x14ac:dyDescent="0.25">
      <c r="P561" s="235"/>
    </row>
    <row r="562" spans="16:16" x14ac:dyDescent="0.25">
      <c r="P562" s="235"/>
    </row>
    <row r="563" spans="16:16" x14ac:dyDescent="0.25">
      <c r="P563" s="235"/>
    </row>
    <row r="564" spans="16:16" x14ac:dyDescent="0.25">
      <c r="P564" s="235"/>
    </row>
    <row r="565" spans="16:16" x14ac:dyDescent="0.25">
      <c r="P565" s="235"/>
    </row>
    <row r="566" spans="16:16" x14ac:dyDescent="0.25">
      <c r="P566" s="235"/>
    </row>
    <row r="567" spans="16:16" x14ac:dyDescent="0.25">
      <c r="P567" s="235"/>
    </row>
    <row r="568" spans="16:16" x14ac:dyDescent="0.25">
      <c r="P568" s="235"/>
    </row>
  </sheetData>
  <sheetProtection autoFilter="0"/>
  <autoFilter ref="A9:N212" xr:uid="{530481C8-E34F-4414-BC9D-454A3632046D}">
    <filterColumn colId="8" showButton="0"/>
    <filterColumn colId="9" showButton="0"/>
    <filterColumn colId="10" showButton="0"/>
    <filterColumn colId="11" showButton="0"/>
    <filterColumn colId="12" showButton="0"/>
  </autoFilter>
  <mergeCells count="17">
    <mergeCell ref="A4:N4"/>
    <mergeCell ref="A5:N5"/>
    <mergeCell ref="A6:N6"/>
    <mergeCell ref="A9:A11"/>
    <mergeCell ref="B9:B11"/>
    <mergeCell ref="C9:C11"/>
    <mergeCell ref="D9:D11"/>
    <mergeCell ref="E9:E11"/>
    <mergeCell ref="F9:F11"/>
    <mergeCell ref="G9:G11"/>
    <mergeCell ref="H9:H11"/>
    <mergeCell ref="I9:N9"/>
    <mergeCell ref="P9:P12"/>
    <mergeCell ref="I10:J10"/>
    <mergeCell ref="K10:K11"/>
    <mergeCell ref="L10:M10"/>
    <mergeCell ref="N10:N11"/>
  </mergeCells>
  <phoneticPr fontId="16" type="noConversion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EA8AF-8C44-4106-8FF4-C756997D43B9}">
  <dimension ref="A1"/>
  <sheetViews>
    <sheetView zoomScale="160" zoomScaleNormal="160" workbookViewId="0">
      <selection activeCell="J11" sqref="J11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42"/>
  <sheetViews>
    <sheetView view="pageBreakPreview" zoomScale="85" zoomScaleNormal="85" zoomScaleSheetLayoutView="85" workbookViewId="0">
      <selection activeCell="G14" sqref="G14"/>
    </sheetView>
  </sheetViews>
  <sheetFormatPr defaultRowHeight="15" x14ac:dyDescent="0.25"/>
  <cols>
    <col min="1" max="2" width="8.7109375" customWidth="1"/>
    <col min="3" max="3" width="50.7109375" customWidth="1"/>
    <col min="4" max="4" width="25.7109375" customWidth="1"/>
    <col min="5" max="6" width="8.7109375" customWidth="1"/>
    <col min="7" max="7" width="14" customWidth="1"/>
    <col min="8" max="13" width="15.7109375" customWidth="1"/>
  </cols>
  <sheetData>
    <row r="1" spans="1:14" s="16" customFormat="1" x14ac:dyDescent="0.25">
      <c r="A1" s="9" t="s">
        <v>0</v>
      </c>
      <c r="B1" s="10"/>
      <c r="C1" s="11"/>
      <c r="D1" s="12"/>
      <c r="E1" s="11"/>
      <c r="F1" s="11"/>
      <c r="G1" s="13"/>
      <c r="H1" s="14"/>
      <c r="I1" s="15"/>
      <c r="J1" s="15"/>
      <c r="K1" s="15"/>
      <c r="L1" s="15"/>
      <c r="M1" s="78" t="s">
        <v>43</v>
      </c>
    </row>
    <row r="2" spans="1:14" s="16" customFormat="1" ht="15.75" customHeight="1" x14ac:dyDescent="0.25">
      <c r="A2" s="332" t="s">
        <v>5</v>
      </c>
      <c r="B2" s="332"/>
      <c r="C2" s="332"/>
      <c r="D2" s="332"/>
      <c r="E2" s="17"/>
      <c r="F2" s="76"/>
      <c r="G2" s="18"/>
      <c r="H2" s="19"/>
      <c r="I2" s="20"/>
      <c r="J2" s="21"/>
      <c r="K2" s="21"/>
      <c r="L2" s="21"/>
      <c r="M2" s="79" t="s">
        <v>44</v>
      </c>
    </row>
    <row r="3" spans="1:14" s="16" customFormat="1" ht="18.75" customHeight="1" x14ac:dyDescent="0.25">
      <c r="A3" s="333" t="s">
        <v>8</v>
      </c>
      <c r="B3" s="333"/>
      <c r="C3" s="333"/>
      <c r="D3" s="17"/>
      <c r="E3" s="17"/>
      <c r="F3" s="76"/>
      <c r="G3" s="18"/>
      <c r="H3" s="19"/>
      <c r="I3" s="20"/>
      <c r="J3" s="21"/>
      <c r="K3" s="21"/>
      <c r="L3" s="21"/>
      <c r="M3" s="22"/>
    </row>
    <row r="4" spans="1:14" s="16" customFormat="1" ht="25.5" customHeight="1" x14ac:dyDescent="0.25">
      <c r="A4" s="334" t="s">
        <v>42</v>
      </c>
      <c r="B4" s="334"/>
      <c r="C4" s="334"/>
      <c r="D4" s="334"/>
      <c r="E4" s="334"/>
      <c r="F4" s="76"/>
      <c r="G4" s="18"/>
      <c r="H4" s="19"/>
      <c r="I4" s="20"/>
      <c r="J4" s="21"/>
      <c r="K4" s="21"/>
      <c r="L4" s="21"/>
      <c r="M4" s="22"/>
    </row>
    <row r="5" spans="1:14" s="16" customFormat="1" ht="15.75" x14ac:dyDescent="0.25">
      <c r="A5" s="23" t="s">
        <v>4</v>
      </c>
      <c r="B5" s="24"/>
      <c r="C5" s="25"/>
      <c r="D5" s="76"/>
      <c r="E5" s="76"/>
      <c r="F5" s="76"/>
      <c r="G5" s="18"/>
      <c r="H5" s="19"/>
      <c r="I5" s="20"/>
      <c r="J5" s="21"/>
      <c r="K5" s="21"/>
      <c r="L5" s="21"/>
      <c r="M5" s="22"/>
    </row>
    <row r="6" spans="1:14" s="16" customFormat="1" ht="15.75" x14ac:dyDescent="0.25">
      <c r="A6" s="23"/>
      <c r="B6" s="24"/>
      <c r="C6" s="25"/>
      <c r="D6" s="76"/>
      <c r="E6" s="76"/>
      <c r="F6" s="76"/>
      <c r="G6" s="18"/>
      <c r="H6" s="19"/>
      <c r="I6" s="20"/>
      <c r="J6" s="21"/>
      <c r="K6" s="21"/>
      <c r="L6" s="21"/>
      <c r="M6" s="22"/>
    </row>
    <row r="7" spans="1:14" s="16" customFormat="1" ht="15.75" customHeight="1" x14ac:dyDescent="0.25">
      <c r="A7" s="335" t="s">
        <v>58</v>
      </c>
      <c r="B7" s="335"/>
      <c r="C7" s="335"/>
      <c r="D7" s="335"/>
      <c r="E7" s="335"/>
      <c r="F7" s="335"/>
      <c r="G7" s="335"/>
      <c r="H7" s="335"/>
      <c r="I7" s="335"/>
      <c r="J7" s="335"/>
      <c r="K7" s="335"/>
      <c r="L7" s="335"/>
      <c r="M7" s="335"/>
    </row>
    <row r="8" spans="1:14" s="16" customFormat="1" ht="15" customHeight="1" x14ac:dyDescent="0.25">
      <c r="A8" s="336" t="s">
        <v>40</v>
      </c>
      <c r="B8" s="336"/>
      <c r="C8" s="336"/>
      <c r="D8" s="336"/>
      <c r="E8" s="336"/>
      <c r="F8" s="336"/>
      <c r="G8" s="336"/>
      <c r="H8" s="336"/>
      <c r="I8" s="336"/>
      <c r="J8" s="336"/>
      <c r="K8" s="336"/>
      <c r="L8" s="336"/>
      <c r="M8" s="336"/>
    </row>
    <row r="9" spans="1:14" s="16" customFormat="1" ht="31.5" customHeight="1" x14ac:dyDescent="0.25">
      <c r="A9" s="307" t="s">
        <v>29</v>
      </c>
      <c r="B9" s="307"/>
      <c r="C9" s="307"/>
      <c r="D9" s="307"/>
      <c r="E9" s="307"/>
      <c r="F9" s="307"/>
      <c r="G9" s="307"/>
      <c r="H9" s="307"/>
      <c r="I9" s="307"/>
      <c r="J9" s="307"/>
      <c r="K9" s="307"/>
      <c r="L9" s="307"/>
      <c r="M9" s="307"/>
    </row>
    <row r="10" spans="1:14" s="16" customFormat="1" ht="15.75" thickBot="1" x14ac:dyDescent="0.3">
      <c r="A10" s="26"/>
      <c r="B10" s="27"/>
      <c r="C10" s="28"/>
      <c r="D10" s="12"/>
      <c r="E10" s="12"/>
      <c r="F10" s="12"/>
      <c r="G10" s="29"/>
      <c r="H10" s="30"/>
      <c r="I10" s="31"/>
      <c r="J10" s="15"/>
      <c r="K10" s="32"/>
      <c r="L10" s="32"/>
      <c r="M10" s="32"/>
    </row>
    <row r="11" spans="1:14" s="16" customFormat="1" ht="30.75" customHeight="1" x14ac:dyDescent="0.25">
      <c r="A11" s="319" t="s">
        <v>18</v>
      </c>
      <c r="B11" s="322" t="s">
        <v>1</v>
      </c>
      <c r="C11" s="325" t="s">
        <v>17</v>
      </c>
      <c r="D11" s="326" t="s">
        <v>2</v>
      </c>
      <c r="E11" s="329" t="s">
        <v>19</v>
      </c>
      <c r="F11" s="329" t="s">
        <v>20</v>
      </c>
      <c r="G11" s="308" t="s">
        <v>10</v>
      </c>
      <c r="H11" s="311" t="s">
        <v>41</v>
      </c>
      <c r="I11" s="312"/>
      <c r="J11" s="312"/>
      <c r="K11" s="312"/>
      <c r="L11" s="312"/>
      <c r="M11" s="313"/>
    </row>
    <row r="12" spans="1:14" s="16" customFormat="1" ht="30" customHeight="1" x14ac:dyDescent="0.2">
      <c r="A12" s="320"/>
      <c r="B12" s="323"/>
      <c r="C12" s="315"/>
      <c r="D12" s="327"/>
      <c r="E12" s="330"/>
      <c r="F12" s="330"/>
      <c r="G12" s="309"/>
      <c r="H12" s="314" t="s">
        <v>21</v>
      </c>
      <c r="I12" s="315"/>
      <c r="J12" s="315" t="s">
        <v>22</v>
      </c>
      <c r="K12" s="315" t="s">
        <v>11</v>
      </c>
      <c r="L12" s="315"/>
      <c r="M12" s="317" t="s">
        <v>23</v>
      </c>
      <c r="N12" s="33" t="s">
        <v>25</v>
      </c>
    </row>
    <row r="13" spans="1:14" s="16" customFormat="1" ht="39.75" customHeight="1" thickBot="1" x14ac:dyDescent="0.3">
      <c r="A13" s="321"/>
      <c r="B13" s="324"/>
      <c r="C13" s="316"/>
      <c r="D13" s="328"/>
      <c r="E13" s="331"/>
      <c r="F13" s="331"/>
      <c r="G13" s="310"/>
      <c r="H13" s="77" t="s">
        <v>3</v>
      </c>
      <c r="I13" s="77" t="s">
        <v>24</v>
      </c>
      <c r="J13" s="316"/>
      <c r="K13" s="77" t="s">
        <v>3</v>
      </c>
      <c r="L13" s="77" t="s">
        <v>24</v>
      </c>
      <c r="M13" s="318"/>
    </row>
    <row r="14" spans="1:14" s="16" customFormat="1" ht="15.75" thickBot="1" x14ac:dyDescent="0.3">
      <c r="A14" s="34">
        <v>1</v>
      </c>
      <c r="B14" s="35">
        <v>2</v>
      </c>
      <c r="C14" s="35">
        <v>3</v>
      </c>
      <c r="D14" s="35">
        <v>4</v>
      </c>
      <c r="E14" s="35">
        <v>5</v>
      </c>
      <c r="F14" s="35">
        <v>6</v>
      </c>
      <c r="G14" s="36">
        <v>9</v>
      </c>
      <c r="H14" s="36">
        <v>10</v>
      </c>
      <c r="I14" s="36">
        <v>11</v>
      </c>
      <c r="J14" s="36">
        <v>12</v>
      </c>
      <c r="K14" s="36">
        <v>13</v>
      </c>
      <c r="L14" s="36">
        <v>14</v>
      </c>
      <c r="M14" s="37">
        <v>15</v>
      </c>
    </row>
    <row r="15" spans="1:14" s="16" customFormat="1" ht="30" customHeight="1" x14ac:dyDescent="0.25">
      <c r="A15" s="47"/>
      <c r="B15" s="48">
        <v>107</v>
      </c>
      <c r="C15" s="49" t="s">
        <v>30</v>
      </c>
      <c r="D15" s="50"/>
      <c r="E15" s="50"/>
      <c r="F15" s="50"/>
      <c r="G15" s="51"/>
      <c r="H15" s="6"/>
      <c r="I15" s="7"/>
      <c r="J15" s="5"/>
      <c r="K15" s="64">
        <f>K16</f>
        <v>4819194</v>
      </c>
      <c r="L15" s="64">
        <f>L16</f>
        <v>971633.29999999993</v>
      </c>
      <c r="M15" s="64">
        <f>M16</f>
        <v>5790827.2999999998</v>
      </c>
    </row>
    <row r="16" spans="1:14" s="16" customFormat="1" ht="30" customHeight="1" x14ac:dyDescent="0.25">
      <c r="A16" s="52" t="s">
        <v>12</v>
      </c>
      <c r="B16" s="53"/>
      <c r="C16" s="54" t="s">
        <v>39</v>
      </c>
      <c r="D16" s="55" t="s">
        <v>6</v>
      </c>
      <c r="E16" s="56" t="s">
        <v>9</v>
      </c>
      <c r="F16" s="57">
        <v>1</v>
      </c>
      <c r="G16" s="8">
        <f>SUM(G17:G28)</f>
        <v>52</v>
      </c>
      <c r="H16" s="3"/>
      <c r="I16" s="38"/>
      <c r="J16" s="4"/>
      <c r="K16" s="65">
        <f>SUM(K17:K28)</f>
        <v>4819194</v>
      </c>
      <c r="L16" s="66">
        <f>SUM(L17:L28)</f>
        <v>971633.29999999993</v>
      </c>
      <c r="M16" s="67">
        <f>SUM(M17:M28)</f>
        <v>5790827.2999999998</v>
      </c>
    </row>
    <row r="17" spans="1:14" s="16" customFormat="1" ht="30" customHeight="1" x14ac:dyDescent="0.25">
      <c r="A17" s="58" t="s">
        <v>13</v>
      </c>
      <c r="B17" s="59"/>
      <c r="C17" s="60" t="e">
        <f>#REF!</f>
        <v>#REF!</v>
      </c>
      <c r="D17" s="61" t="s">
        <v>6</v>
      </c>
      <c r="E17" s="62" t="s">
        <v>9</v>
      </c>
      <c r="F17" s="63">
        <v>1</v>
      </c>
      <c r="G17" s="63">
        <v>1</v>
      </c>
      <c r="H17" s="2">
        <v>126331.3</v>
      </c>
      <c r="I17" s="39">
        <v>23286.2</v>
      </c>
      <c r="J17" s="1">
        <f>SUM(H17:I17)</f>
        <v>149617.5</v>
      </c>
      <c r="K17" s="68">
        <f>H17*G17</f>
        <v>126331.3</v>
      </c>
      <c r="L17" s="69">
        <f>I17*G17</f>
        <v>23286.2</v>
      </c>
      <c r="M17" s="70">
        <f t="shared" ref="M17:M28" si="0">SUM(K17:L17)</f>
        <v>149617.5</v>
      </c>
    </row>
    <row r="18" spans="1:14" s="16" customFormat="1" ht="30" customHeight="1" x14ac:dyDescent="0.25">
      <c r="A18" s="58" t="s">
        <v>14</v>
      </c>
      <c r="B18" s="59"/>
      <c r="C18" s="60" t="e">
        <f>#REF!</f>
        <v>#REF!</v>
      </c>
      <c r="D18" s="61" t="s">
        <v>6</v>
      </c>
      <c r="E18" s="62" t="s">
        <v>9</v>
      </c>
      <c r="F18" s="63">
        <v>1</v>
      </c>
      <c r="G18" s="63">
        <v>1</v>
      </c>
      <c r="H18" s="2">
        <v>126331.3</v>
      </c>
      <c r="I18" s="39">
        <v>23286.2</v>
      </c>
      <c r="J18" s="1">
        <f t="shared" ref="J18:J28" si="1">SUM(H18:I18)</f>
        <v>149617.5</v>
      </c>
      <c r="K18" s="68">
        <f t="shared" ref="K18:K28" si="2">H18*G18</f>
        <v>126331.3</v>
      </c>
      <c r="L18" s="69">
        <f t="shared" ref="L18:L28" si="3">I18*G18</f>
        <v>23286.2</v>
      </c>
      <c r="M18" s="70">
        <f t="shared" si="0"/>
        <v>149617.5</v>
      </c>
    </row>
    <row r="19" spans="1:14" s="16" customFormat="1" ht="30" customHeight="1" x14ac:dyDescent="0.25">
      <c r="A19" s="58" t="s">
        <v>15</v>
      </c>
      <c r="B19" s="59"/>
      <c r="C19" s="60" t="e">
        <f>#REF!</f>
        <v>#REF!</v>
      </c>
      <c r="D19" s="61" t="s">
        <v>6</v>
      </c>
      <c r="E19" s="62" t="s">
        <v>9</v>
      </c>
      <c r="F19" s="63">
        <v>1</v>
      </c>
      <c r="G19" s="63">
        <v>4</v>
      </c>
      <c r="H19" s="2">
        <v>87665.72</v>
      </c>
      <c r="I19" s="39">
        <v>18021.3</v>
      </c>
      <c r="J19" s="1">
        <f t="shared" si="1"/>
        <v>105687.02</v>
      </c>
      <c r="K19" s="68">
        <f t="shared" si="2"/>
        <v>350662.88</v>
      </c>
      <c r="L19" s="69">
        <f t="shared" si="3"/>
        <v>72085.2</v>
      </c>
      <c r="M19" s="70">
        <f t="shared" si="0"/>
        <v>422748.08</v>
      </c>
    </row>
    <row r="20" spans="1:14" s="16" customFormat="1" ht="30" customHeight="1" x14ac:dyDescent="0.25">
      <c r="A20" s="58" t="s">
        <v>16</v>
      </c>
      <c r="B20" s="59"/>
      <c r="C20" s="60" t="e">
        <f>#REF!</f>
        <v>#REF!</v>
      </c>
      <c r="D20" s="61" t="s">
        <v>6</v>
      </c>
      <c r="E20" s="62" t="s">
        <v>9</v>
      </c>
      <c r="F20" s="63">
        <v>1</v>
      </c>
      <c r="G20" s="63">
        <v>11</v>
      </c>
      <c r="H20" s="2">
        <v>61504.62</v>
      </c>
      <c r="I20" s="39">
        <v>9927.6</v>
      </c>
      <c r="J20" s="1">
        <f t="shared" si="1"/>
        <v>71432.22</v>
      </c>
      <c r="K20" s="68">
        <f t="shared" si="2"/>
        <v>676550.82000000007</v>
      </c>
      <c r="L20" s="69">
        <f t="shared" si="3"/>
        <v>109203.6</v>
      </c>
      <c r="M20" s="70">
        <f t="shared" si="0"/>
        <v>785754.42</v>
      </c>
    </row>
    <row r="21" spans="1:14" s="16" customFormat="1" ht="30" customHeight="1" x14ac:dyDescent="0.25">
      <c r="A21" s="58" t="s">
        <v>31</v>
      </c>
      <c r="B21" s="59"/>
      <c r="C21" s="60" t="e">
        <f>#REF!</f>
        <v>#REF!</v>
      </c>
      <c r="D21" s="61" t="s">
        <v>6</v>
      </c>
      <c r="E21" s="62" t="s">
        <v>9</v>
      </c>
      <c r="F21" s="63">
        <v>1</v>
      </c>
      <c r="G21" s="63">
        <v>4</v>
      </c>
      <c r="H21" s="2">
        <v>86926.54</v>
      </c>
      <c r="I21" s="39">
        <v>18021.3</v>
      </c>
      <c r="J21" s="1">
        <f t="shared" si="1"/>
        <v>104947.84</v>
      </c>
      <c r="K21" s="68">
        <f t="shared" si="2"/>
        <v>347706.16</v>
      </c>
      <c r="L21" s="69">
        <f t="shared" si="3"/>
        <v>72085.2</v>
      </c>
      <c r="M21" s="70">
        <f t="shared" si="0"/>
        <v>419791.35999999999</v>
      </c>
    </row>
    <row r="22" spans="1:14" s="16" customFormat="1" ht="30" customHeight="1" x14ac:dyDescent="0.25">
      <c r="A22" s="58" t="s">
        <v>32</v>
      </c>
      <c r="B22" s="59"/>
      <c r="C22" s="60" t="e">
        <f>#REF!</f>
        <v>#REF!</v>
      </c>
      <c r="D22" s="61" t="s">
        <v>6</v>
      </c>
      <c r="E22" s="62" t="s">
        <v>9</v>
      </c>
      <c r="F22" s="63">
        <v>1</v>
      </c>
      <c r="G22" s="63">
        <v>3</v>
      </c>
      <c r="H22" s="2">
        <v>86926.54</v>
      </c>
      <c r="I22" s="39">
        <v>18021.3</v>
      </c>
      <c r="J22" s="1">
        <f t="shared" si="1"/>
        <v>104947.84</v>
      </c>
      <c r="K22" s="68">
        <f t="shared" si="2"/>
        <v>260779.62</v>
      </c>
      <c r="L22" s="69">
        <f t="shared" si="3"/>
        <v>54063.899999999994</v>
      </c>
      <c r="M22" s="70">
        <f t="shared" si="0"/>
        <v>314843.52000000002</v>
      </c>
    </row>
    <row r="23" spans="1:14" s="16" customFormat="1" ht="30" customHeight="1" x14ac:dyDescent="0.25">
      <c r="A23" s="58" t="s">
        <v>33</v>
      </c>
      <c r="B23" s="59"/>
      <c r="C23" s="60" t="e">
        <f>#REF!</f>
        <v>#REF!</v>
      </c>
      <c r="D23" s="61" t="s">
        <v>6</v>
      </c>
      <c r="E23" s="62" t="s">
        <v>9</v>
      </c>
      <c r="F23" s="63">
        <v>1</v>
      </c>
      <c r="G23" s="63">
        <v>9</v>
      </c>
      <c r="H23" s="2">
        <v>89982.12</v>
      </c>
      <c r="I23" s="39">
        <v>19609.900000000001</v>
      </c>
      <c r="J23" s="1">
        <f t="shared" si="1"/>
        <v>109592.01999999999</v>
      </c>
      <c r="K23" s="68">
        <f t="shared" si="2"/>
        <v>809839.08</v>
      </c>
      <c r="L23" s="69">
        <f t="shared" si="3"/>
        <v>176489.1</v>
      </c>
      <c r="M23" s="70">
        <f t="shared" si="0"/>
        <v>986328.17999999993</v>
      </c>
    </row>
    <row r="24" spans="1:14" s="16" customFormat="1" ht="30" customHeight="1" x14ac:dyDescent="0.25">
      <c r="A24" s="58" t="s">
        <v>34</v>
      </c>
      <c r="B24" s="59"/>
      <c r="C24" s="60" t="e">
        <f>#REF!</f>
        <v>#REF!</v>
      </c>
      <c r="D24" s="61" t="s">
        <v>6</v>
      </c>
      <c r="E24" s="62" t="s">
        <v>9</v>
      </c>
      <c r="F24" s="63">
        <v>1</v>
      </c>
      <c r="G24" s="63">
        <v>9</v>
      </c>
      <c r="H24" s="2">
        <v>89982.12</v>
      </c>
      <c r="I24" s="39">
        <v>19609.900000000001</v>
      </c>
      <c r="J24" s="1">
        <f t="shared" si="1"/>
        <v>109592.01999999999</v>
      </c>
      <c r="K24" s="68">
        <f t="shared" si="2"/>
        <v>809839.08</v>
      </c>
      <c r="L24" s="69">
        <f t="shared" si="3"/>
        <v>176489.1</v>
      </c>
      <c r="M24" s="70">
        <f t="shared" si="0"/>
        <v>986328.17999999993</v>
      </c>
    </row>
    <row r="25" spans="1:14" s="16" customFormat="1" ht="30" customHeight="1" x14ac:dyDescent="0.25">
      <c r="A25" s="58" t="s">
        <v>35</v>
      </c>
      <c r="B25" s="59"/>
      <c r="C25" s="60" t="e">
        <f>#REF!</f>
        <v>#REF!</v>
      </c>
      <c r="D25" s="61" t="s">
        <v>6</v>
      </c>
      <c r="E25" s="62" t="s">
        <v>9</v>
      </c>
      <c r="F25" s="63">
        <v>1</v>
      </c>
      <c r="G25" s="75">
        <v>5</v>
      </c>
      <c r="H25" s="2">
        <v>135332.04</v>
      </c>
      <c r="I25" s="39">
        <v>26697.200000000001</v>
      </c>
      <c r="J25" s="1">
        <f t="shared" si="1"/>
        <v>162029.24000000002</v>
      </c>
      <c r="K25" s="68">
        <f t="shared" si="2"/>
        <v>676660.20000000007</v>
      </c>
      <c r="L25" s="69">
        <f t="shared" si="3"/>
        <v>133486</v>
      </c>
      <c r="M25" s="70">
        <f t="shared" si="0"/>
        <v>810146.20000000007</v>
      </c>
    </row>
    <row r="26" spans="1:14" s="16" customFormat="1" ht="30" customHeight="1" x14ac:dyDescent="0.25">
      <c r="A26" s="58" t="s">
        <v>36</v>
      </c>
      <c r="B26" s="59"/>
      <c r="C26" s="60" t="e">
        <f>#REF!</f>
        <v>#REF!</v>
      </c>
      <c r="D26" s="61" t="s">
        <v>6</v>
      </c>
      <c r="E26" s="62" t="s">
        <v>9</v>
      </c>
      <c r="F26" s="63">
        <v>1</v>
      </c>
      <c r="G26" s="75">
        <v>1</v>
      </c>
      <c r="H26" s="2">
        <v>114248.72</v>
      </c>
      <c r="I26" s="39">
        <v>25533.599999999999</v>
      </c>
      <c r="J26" s="1">
        <f t="shared" si="1"/>
        <v>139782.32</v>
      </c>
      <c r="K26" s="68">
        <f t="shared" si="2"/>
        <v>114248.72</v>
      </c>
      <c r="L26" s="69">
        <f t="shared" si="3"/>
        <v>25533.599999999999</v>
      </c>
      <c r="M26" s="70">
        <f t="shared" si="0"/>
        <v>139782.32</v>
      </c>
    </row>
    <row r="27" spans="1:14" s="16" customFormat="1" ht="30" customHeight="1" x14ac:dyDescent="0.25">
      <c r="A27" s="58" t="s">
        <v>37</v>
      </c>
      <c r="B27" s="59"/>
      <c r="C27" s="60" t="e">
        <f>#REF!</f>
        <v>#REF!</v>
      </c>
      <c r="D27" s="61" t="s">
        <v>6</v>
      </c>
      <c r="E27" s="62" t="s">
        <v>9</v>
      </c>
      <c r="F27" s="63">
        <v>1</v>
      </c>
      <c r="G27" s="75">
        <v>1</v>
      </c>
      <c r="H27" s="2">
        <v>114248.72</v>
      </c>
      <c r="I27" s="39">
        <v>25533.599999999999</v>
      </c>
      <c r="J27" s="1">
        <f t="shared" si="1"/>
        <v>139782.32</v>
      </c>
      <c r="K27" s="68">
        <f t="shared" si="2"/>
        <v>114248.72</v>
      </c>
      <c r="L27" s="69">
        <f t="shared" si="3"/>
        <v>25533.599999999999</v>
      </c>
      <c r="M27" s="70">
        <f t="shared" si="0"/>
        <v>139782.32</v>
      </c>
    </row>
    <row r="28" spans="1:14" s="16" customFormat="1" ht="30" customHeight="1" x14ac:dyDescent="0.25">
      <c r="A28" s="58" t="s">
        <v>38</v>
      </c>
      <c r="B28" s="59"/>
      <c r="C28" s="60" t="e">
        <f>#REF!</f>
        <v>#REF!</v>
      </c>
      <c r="D28" s="61" t="s">
        <v>6</v>
      </c>
      <c r="E28" s="62" t="s">
        <v>9</v>
      </c>
      <c r="F28" s="63">
        <v>1</v>
      </c>
      <c r="G28" s="75">
        <v>3</v>
      </c>
      <c r="H28" s="2">
        <v>135332.04</v>
      </c>
      <c r="I28" s="39">
        <v>26697.200000000001</v>
      </c>
      <c r="J28" s="1">
        <f t="shared" si="1"/>
        <v>162029.24000000002</v>
      </c>
      <c r="K28" s="68">
        <f t="shared" si="2"/>
        <v>405996.12</v>
      </c>
      <c r="L28" s="69">
        <f t="shared" si="3"/>
        <v>80091.600000000006</v>
      </c>
      <c r="M28" s="70">
        <f t="shared" si="0"/>
        <v>486087.72</v>
      </c>
    </row>
    <row r="29" spans="1:14" s="16" customFormat="1" ht="30" customHeight="1" x14ac:dyDescent="0.25">
      <c r="A29" s="40"/>
      <c r="B29" s="41"/>
      <c r="C29" s="339" t="s">
        <v>27</v>
      </c>
      <c r="D29" s="339"/>
      <c r="E29" s="339"/>
      <c r="F29" s="339"/>
      <c r="G29" s="339"/>
      <c r="H29" s="339"/>
      <c r="I29" s="339"/>
      <c r="J29" s="339"/>
      <c r="K29" s="71">
        <f>K16</f>
        <v>4819194</v>
      </c>
      <c r="L29" s="71">
        <f>L16</f>
        <v>971633.29999999993</v>
      </c>
      <c r="M29" s="72">
        <f>M16</f>
        <v>5790827.2999999998</v>
      </c>
    </row>
    <row r="30" spans="1:14" s="16" customFormat="1" ht="30" customHeight="1" x14ac:dyDescent="0.2">
      <c r="A30" s="42"/>
      <c r="B30" s="43"/>
      <c r="C30" s="43" t="s">
        <v>28</v>
      </c>
      <c r="D30" s="43"/>
      <c r="E30" s="43"/>
      <c r="F30" s="43"/>
      <c r="G30" s="44"/>
      <c r="H30" s="43"/>
      <c r="I30" s="43"/>
      <c r="J30" s="45"/>
      <c r="K30" s="73"/>
      <c r="L30" s="73"/>
      <c r="M30" s="74">
        <f>M29-M29/1.2</f>
        <v>965137.88333333284</v>
      </c>
      <c r="N30" s="46" t="s">
        <v>26</v>
      </c>
    </row>
    <row r="32" spans="1:14" x14ac:dyDescent="0.25">
      <c r="A32" s="340" t="s">
        <v>45</v>
      </c>
      <c r="B32" s="340"/>
      <c r="C32" s="340"/>
      <c r="D32" s="340"/>
      <c r="E32" s="340" t="s">
        <v>46</v>
      </c>
      <c r="F32" s="340"/>
      <c r="G32" s="80"/>
      <c r="H32" s="81"/>
      <c r="I32" s="81"/>
      <c r="J32" s="340" t="s">
        <v>47</v>
      </c>
      <c r="K32" s="340"/>
      <c r="L32" s="80"/>
      <c r="M32" s="81"/>
    </row>
    <row r="33" spans="1:13" x14ac:dyDescent="0.25">
      <c r="A33" s="341" t="s">
        <v>8</v>
      </c>
      <c r="B33" s="341"/>
      <c r="C33" s="341"/>
      <c r="D33" s="341"/>
      <c r="E33" s="338" t="s">
        <v>48</v>
      </c>
      <c r="F33" s="338"/>
      <c r="G33" s="338"/>
      <c r="H33" s="82"/>
      <c r="I33" s="82"/>
      <c r="J33" s="341" t="s">
        <v>49</v>
      </c>
      <c r="K33" s="341"/>
      <c r="L33" s="341"/>
      <c r="M33" s="83"/>
    </row>
    <row r="34" spans="1:13" x14ac:dyDescent="0.25">
      <c r="A34" s="337" t="s">
        <v>50</v>
      </c>
      <c r="B34" s="337"/>
      <c r="C34" s="337"/>
      <c r="D34" s="83"/>
      <c r="E34" s="84"/>
      <c r="F34" s="84"/>
      <c r="G34" s="80"/>
      <c r="H34" s="85"/>
      <c r="I34" s="85"/>
      <c r="J34" s="86"/>
      <c r="K34" s="86"/>
      <c r="L34" s="87"/>
      <c r="M34" s="88"/>
    </row>
    <row r="35" spans="1:13" x14ac:dyDescent="0.25">
      <c r="A35" s="89"/>
      <c r="B35" s="89"/>
      <c r="C35" s="89"/>
      <c r="D35" s="89"/>
      <c r="E35" s="84"/>
      <c r="F35" s="84"/>
      <c r="G35" s="80"/>
      <c r="H35" s="85"/>
      <c r="I35" s="85"/>
      <c r="J35" s="90"/>
      <c r="K35" s="90"/>
      <c r="L35" s="91"/>
      <c r="M35" s="89"/>
    </row>
    <row r="36" spans="1:13" x14ac:dyDescent="0.25">
      <c r="A36" s="337" t="s">
        <v>51</v>
      </c>
      <c r="B36" s="337"/>
      <c r="C36" s="337"/>
      <c r="D36" s="337"/>
      <c r="E36" s="338" t="s">
        <v>52</v>
      </c>
      <c r="F36" s="338"/>
      <c r="G36" s="80"/>
      <c r="H36" s="82"/>
      <c r="I36" s="82"/>
      <c r="J36" s="337" t="s">
        <v>53</v>
      </c>
      <c r="K36" s="337"/>
      <c r="L36" s="337"/>
      <c r="M36" s="337"/>
    </row>
    <row r="37" spans="1:13" x14ac:dyDescent="0.25">
      <c r="A37" s="92"/>
      <c r="B37" s="92"/>
      <c r="C37" s="92"/>
      <c r="D37" s="92"/>
      <c r="E37" s="92"/>
      <c r="F37" s="92"/>
      <c r="G37" s="80"/>
      <c r="H37" s="92"/>
      <c r="I37" s="92"/>
      <c r="J37" s="93"/>
      <c r="K37" s="93"/>
      <c r="L37" s="91"/>
      <c r="M37" s="93"/>
    </row>
    <row r="38" spans="1:13" x14ac:dyDescent="0.25">
      <c r="A38" s="94"/>
      <c r="B38" s="94"/>
      <c r="C38" s="95" t="s">
        <v>54</v>
      </c>
      <c r="D38" s="96"/>
      <c r="E38" s="94"/>
      <c r="F38" s="97"/>
      <c r="G38" s="97"/>
      <c r="H38" s="97" t="s">
        <v>55</v>
      </c>
      <c r="I38" s="92"/>
      <c r="J38" s="94"/>
      <c r="K38" s="97"/>
      <c r="L38" s="97"/>
      <c r="M38" s="97" t="s">
        <v>56</v>
      </c>
    </row>
    <row r="39" spans="1:13" x14ac:dyDescent="0.25">
      <c r="A39" s="92"/>
      <c r="B39" s="92"/>
      <c r="C39" s="96"/>
      <c r="D39" s="96"/>
      <c r="E39" s="92"/>
      <c r="F39" s="96"/>
      <c r="G39" s="80"/>
      <c r="H39" s="92"/>
      <c r="I39" s="92"/>
      <c r="J39" s="92"/>
      <c r="K39" s="96"/>
      <c r="L39" s="80"/>
      <c r="M39" s="92"/>
    </row>
    <row r="40" spans="1:13" x14ac:dyDescent="0.25">
      <c r="A40" s="92" t="s">
        <v>57</v>
      </c>
      <c r="B40" s="92"/>
      <c r="C40" s="96"/>
      <c r="D40" s="96"/>
      <c r="E40" s="92" t="s">
        <v>57</v>
      </c>
      <c r="F40" s="92"/>
      <c r="G40" s="96"/>
      <c r="H40" s="92"/>
      <c r="I40" s="92"/>
      <c r="J40" s="92" t="s">
        <v>57</v>
      </c>
      <c r="K40" s="92"/>
      <c r="L40" s="96"/>
      <c r="M40" s="92"/>
    </row>
    <row r="41" spans="1:13" x14ac:dyDescent="0.25">
      <c r="A41" s="92"/>
      <c r="B41" s="92"/>
      <c r="C41" s="96"/>
      <c r="D41" s="96"/>
      <c r="E41" s="92"/>
      <c r="F41" s="96"/>
      <c r="G41" s="80"/>
      <c r="H41" s="92"/>
      <c r="I41" s="92"/>
      <c r="J41" s="92"/>
      <c r="K41" s="96"/>
      <c r="L41" s="80"/>
      <c r="M41" s="92"/>
    </row>
    <row r="42" spans="1:13" x14ac:dyDescent="0.25">
      <c r="A42" s="98" t="s">
        <v>4</v>
      </c>
      <c r="B42" s="99"/>
      <c r="C42" s="100"/>
      <c r="D42" s="101"/>
      <c r="E42" s="98" t="s">
        <v>4</v>
      </c>
      <c r="F42" s="99"/>
      <c r="G42" s="80"/>
      <c r="H42" s="98"/>
      <c r="I42" s="92"/>
      <c r="J42" s="98" t="s">
        <v>4</v>
      </c>
      <c r="K42" s="99"/>
      <c r="L42" s="80"/>
      <c r="M42" s="98"/>
    </row>
  </sheetData>
  <customSheetViews>
    <customSheetView guid="{6504194F-9A24-4D91-A908-D5C52AD552E6}" scale="85" showPageBreaks="1" printArea="1" state="hidden" view="pageBreakPreview">
      <selection activeCell="G14" sqref="G14"/>
      <pageMargins left="0.7" right="0.7" top="0.75" bottom="0.75" header="0.3" footer="0.3"/>
      <pageSetup paperSize="9" scale="39" orientation="portrait" r:id="rId1"/>
    </customSheetView>
    <customSheetView guid="{200FE767-226A-4241-904F-FDA0FE931B36}" scale="85" showPageBreaks="1" printArea="1" state="hidden" view="pageBreakPreview">
      <selection activeCell="G14" sqref="G14"/>
      <pageMargins left="0.7" right="0.7" top="0.75" bottom="0.75" header="0.3" footer="0.3"/>
      <pageSetup paperSize="9" scale="39" orientation="portrait" r:id="rId2"/>
    </customSheetView>
    <customSheetView guid="{FF4F19E7-4806-4777-BD61-949420C2DC9E}" scale="85" showPageBreaks="1" printArea="1" state="hidden" view="pageBreakPreview">
      <selection activeCell="G14" sqref="G14"/>
      <pageMargins left="0.7" right="0.7" top="0.75" bottom="0.75" header="0.3" footer="0.3"/>
      <pageSetup paperSize="9" scale="39" orientation="portrait" r:id="rId3"/>
    </customSheetView>
    <customSheetView guid="{26DDE955-10AE-4017-BEF2-9636EE8B03C2}" scale="85" showPageBreaks="1" printArea="1" state="hidden" view="pageBreakPreview">
      <selection activeCell="G14" sqref="G14"/>
      <pageMargins left="0.7" right="0.7" top="0.75" bottom="0.75" header="0.3" footer="0.3"/>
      <pageSetup paperSize="9" scale="39" orientation="portrait" r:id="rId4"/>
    </customSheetView>
  </customSheetViews>
  <mergeCells count="29">
    <mergeCell ref="A34:C34"/>
    <mergeCell ref="A36:D36"/>
    <mergeCell ref="E36:F36"/>
    <mergeCell ref="J36:M36"/>
    <mergeCell ref="C29:J29"/>
    <mergeCell ref="A32:D32"/>
    <mergeCell ref="E32:F32"/>
    <mergeCell ref="J32:K32"/>
    <mergeCell ref="A33:D33"/>
    <mergeCell ref="E33:G33"/>
    <mergeCell ref="J33:L33"/>
    <mergeCell ref="A2:D2"/>
    <mergeCell ref="A3:C3"/>
    <mergeCell ref="A4:E4"/>
    <mergeCell ref="A7:M7"/>
    <mergeCell ref="A8:M8"/>
    <mergeCell ref="A9:M9"/>
    <mergeCell ref="G11:G13"/>
    <mergeCell ref="H11:M11"/>
    <mergeCell ref="H12:I12"/>
    <mergeCell ref="J12:J13"/>
    <mergeCell ref="K12:L12"/>
    <mergeCell ref="M12:M13"/>
    <mergeCell ref="A11:A13"/>
    <mergeCell ref="B11:B13"/>
    <mergeCell ref="C11:C13"/>
    <mergeCell ref="D11:D13"/>
    <mergeCell ref="E11:E13"/>
    <mergeCell ref="F11:F13"/>
  </mergeCells>
  <pageMargins left="0.7" right="0.7" top="0.75" bottom="0.75" header="0.3" footer="0.3"/>
  <pageSetup paperSize="9" scale="3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Секция 2А,2Б</vt:lpstr>
      <vt:lpstr>Секция 1А,1Б</vt:lpstr>
      <vt:lpstr>Секция 3А,3Б,3В</vt:lpstr>
      <vt:lpstr>Лист5</vt:lpstr>
      <vt:lpstr>ВДЦ ал.окна</vt:lpstr>
      <vt:lpstr>'ВДЦ ал.окна'!Область_печати</vt:lpstr>
      <vt:lpstr>'Секция 1А,1Б'!Область_печати</vt:lpstr>
      <vt:lpstr>'Секция 2А,2Б'!Область_печати</vt:lpstr>
      <vt:lpstr>'Секция 3А,3Б,3В'!Область_печати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Екатерина Соловьева</dc:creator>
  <cp:lastModifiedBy>Воронюк Светлана</cp:lastModifiedBy>
  <cp:revision>1</cp:revision>
  <cp:lastPrinted>2025-04-25T08:16:51Z</cp:lastPrinted>
  <dcterms:created xsi:type="dcterms:W3CDTF">2015-06-05T18:19:34Z</dcterms:created>
  <dcterms:modified xsi:type="dcterms:W3CDTF">2026-06-02T04:47:44Z</dcterms:modified>
</cp:coreProperties>
</file>